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drive_mydocuments\cps\USA\"/>
    </mc:Choice>
  </mc:AlternateContent>
  <bookViews>
    <workbookView xWindow="0" yWindow="0" windowWidth="23040" windowHeight="9408"/>
  </bookViews>
  <sheets>
    <sheet name="Totals USA" sheetId="11" r:id="rId1"/>
    <sheet name="GHG USA" sheetId="12" r:id="rId2"/>
    <sheet name="EV USA" sheetId="13" r:id="rId3"/>
    <sheet name="NG USA" sheetId="14" r:id="rId4"/>
    <sheet name="Totals California" sheetId="1" r:id="rId5"/>
    <sheet name="Mix" sheetId="9" r:id="rId6"/>
    <sheet name="GHG" sheetId="10" r:id="rId7"/>
    <sheet name="EV" sheetId="2" r:id="rId8"/>
    <sheet name="NG" sheetId="3" r:id="rId9"/>
    <sheet name="NG 2016" sheetId="4" r:id="rId10"/>
    <sheet name="CEC cover sheet" sheetId="5" r:id="rId11"/>
    <sheet name="CEC electric use" sheetId="6" r:id="rId12"/>
    <sheet name="Storage flat load" sheetId="7" r:id="rId13"/>
    <sheet name="Storage Ca load" sheetId="8" r:id="rId14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G59" i="1"/>
  <c r="B63" i="1" s="1"/>
  <c r="D63" i="1" s="1"/>
  <c r="F59" i="1"/>
  <c r="F13" i="1"/>
  <c r="C63" i="1" l="1"/>
  <c r="F88" i="1" l="1"/>
  <c r="F87" i="1"/>
  <c r="F81" i="11"/>
  <c r="B13" i="9" l="1"/>
  <c r="B12" i="9"/>
  <c r="B11" i="9"/>
  <c r="C10" i="9"/>
  <c r="C9" i="9"/>
  <c r="C4" i="1" l="1"/>
  <c r="C4" i="11"/>
  <c r="B23" i="13"/>
  <c r="B23" i="2"/>
  <c r="B22" i="13"/>
  <c r="B22" i="2"/>
  <c r="B9" i="2"/>
  <c r="B21" i="13"/>
  <c r="B21" i="2"/>
  <c r="D48" i="1" l="1"/>
  <c r="B48" i="1"/>
  <c r="D59" i="11"/>
  <c r="C59" i="11"/>
  <c r="B59" i="11"/>
  <c r="F59" i="11"/>
  <c r="B4" i="12"/>
  <c r="B5" i="12" s="1"/>
  <c r="B6" i="12" s="1"/>
  <c r="B7" i="12" s="1"/>
  <c r="B8" i="12" s="1"/>
  <c r="B17" i="14"/>
  <c r="G4" i="11"/>
  <c r="B3" i="11"/>
  <c r="B4" i="11" s="1"/>
  <c r="G2" i="11"/>
  <c r="D4" i="11"/>
  <c r="B12" i="14"/>
  <c r="B11" i="14"/>
  <c r="B10" i="14"/>
  <c r="B16" i="14"/>
  <c r="B14" i="14"/>
  <c r="B8" i="14"/>
  <c r="B8" i="13"/>
  <c r="B19" i="13" s="1"/>
  <c r="B4" i="13"/>
  <c r="B9" i="13"/>
  <c r="B15" i="13"/>
  <c r="B16" i="13" s="1"/>
  <c r="B13" i="13"/>
  <c r="B11" i="13"/>
  <c r="B7" i="13"/>
  <c r="F66" i="11"/>
  <c r="D66" i="11"/>
  <c r="C66" i="11"/>
  <c r="F52" i="11"/>
  <c r="D52" i="11"/>
  <c r="C52" i="11"/>
  <c r="D50" i="11"/>
  <c r="C50" i="11"/>
  <c r="D47" i="11"/>
  <c r="C47" i="11"/>
  <c r="B38" i="11"/>
  <c r="B37" i="11"/>
  <c r="B36" i="11"/>
  <c r="D34" i="11"/>
  <c r="D38" i="11" s="1"/>
  <c r="C34" i="11"/>
  <c r="C38" i="11" s="1"/>
  <c r="D33" i="11"/>
  <c r="D37" i="11" s="1"/>
  <c r="C33" i="11"/>
  <c r="C37" i="11" s="1"/>
  <c r="D32" i="11"/>
  <c r="D36" i="11" s="1"/>
  <c r="C32" i="11"/>
  <c r="C36" i="11" s="1"/>
  <c r="F19" i="11"/>
  <c r="D19" i="11"/>
  <c r="C19" i="11"/>
  <c r="F16" i="11"/>
  <c r="D16" i="11"/>
  <c r="C16" i="11"/>
  <c r="B16" i="11"/>
  <c r="D13" i="11"/>
  <c r="F13" i="11" s="1"/>
  <c r="G59" i="11" s="1"/>
  <c r="B63" i="11" s="1"/>
  <c r="C13" i="11"/>
  <c r="D7" i="11"/>
  <c r="C7" i="11"/>
  <c r="D5" i="11"/>
  <c r="D6" i="11" s="1"/>
  <c r="C5" i="11"/>
  <c r="B8" i="10"/>
  <c r="B7" i="10"/>
  <c r="B6" i="10"/>
  <c r="B5" i="10"/>
  <c r="B15" i="3"/>
  <c r="B4" i="10" s="1"/>
  <c r="B13" i="3"/>
  <c r="B11" i="2"/>
  <c r="D63" i="11" l="1"/>
  <c r="C63" i="11"/>
  <c r="C6" i="11"/>
  <c r="C14" i="11" s="1"/>
  <c r="B10" i="13"/>
  <c r="B6" i="11"/>
  <c r="B8" i="11" s="1"/>
  <c r="B75" i="11" s="1"/>
  <c r="B77" i="11" s="1"/>
  <c r="D14" i="11"/>
  <c r="D8" i="11"/>
  <c r="D10" i="11"/>
  <c r="D60" i="11" s="1"/>
  <c r="F4" i="11"/>
  <c r="C10" i="11" l="1"/>
  <c r="C60" i="11" s="1"/>
  <c r="C8" i="11"/>
  <c r="C71" i="11" s="1"/>
  <c r="C73" i="11" s="1"/>
  <c r="B14" i="11"/>
  <c r="B48" i="11" s="1"/>
  <c r="B10" i="11"/>
  <c r="B60" i="11" s="1"/>
  <c r="F6" i="11"/>
  <c r="B15" i="11"/>
  <c r="B17" i="11" s="1"/>
  <c r="B18" i="11" s="1"/>
  <c r="B20" i="11" s="1"/>
  <c r="B71" i="11"/>
  <c r="B73" i="11" s="1"/>
  <c r="F14" i="11"/>
  <c r="F43" i="11" s="1"/>
  <c r="D15" i="11"/>
  <c r="D75" i="11"/>
  <c r="D77" i="11" s="1"/>
  <c r="D71" i="11"/>
  <c r="D73" i="11" s="1"/>
  <c r="D43" i="11"/>
  <c r="D48" i="11"/>
  <c r="D49" i="11" s="1"/>
  <c r="C48" i="11"/>
  <c r="C49" i="11" s="1"/>
  <c r="C43" i="11"/>
  <c r="F8" i="11" l="1"/>
  <c r="D9" i="11" s="1"/>
  <c r="C75" i="11"/>
  <c r="C77" i="11" s="1"/>
  <c r="C15" i="11"/>
  <c r="F60" i="11"/>
  <c r="B26" i="11"/>
  <c r="B25" i="11"/>
  <c r="B40" i="11" s="1"/>
  <c r="F15" i="11"/>
  <c r="F44" i="11" s="1"/>
  <c r="B24" i="11"/>
  <c r="B39" i="11" s="1"/>
  <c r="B43" i="11"/>
  <c r="C9" i="11"/>
  <c r="B44" i="11"/>
  <c r="F10" i="11"/>
  <c r="C51" i="11"/>
  <c r="B9" i="11"/>
  <c r="D25" i="11"/>
  <c r="D17" i="11"/>
  <c r="D18" i="11" s="1"/>
  <c r="D20" i="11" s="1"/>
  <c r="D44" i="11"/>
  <c r="D26" i="11"/>
  <c r="D24" i="11"/>
  <c r="B28" i="11"/>
  <c r="C25" i="11"/>
  <c r="C24" i="11"/>
  <c r="C17" i="11"/>
  <c r="C18" i="11" s="1"/>
  <c r="C20" i="11" s="1"/>
  <c r="C44" i="11"/>
  <c r="C26" i="11"/>
  <c r="B41" i="11"/>
  <c r="B30" i="11"/>
  <c r="D51" i="11"/>
  <c r="B49" i="11"/>
  <c r="F49" i="11" s="1"/>
  <c r="F48" i="11"/>
  <c r="B51" i="11"/>
  <c r="B29" i="11" l="1"/>
  <c r="F17" i="11"/>
  <c r="F18" i="11" s="1"/>
  <c r="F20" i="11" s="1"/>
  <c r="F82" i="11" s="1"/>
  <c r="B27" i="11"/>
  <c r="F71" i="11"/>
  <c r="F73" i="11" s="1"/>
  <c r="F75" i="11"/>
  <c r="F77" i="11" s="1"/>
  <c r="F9" i="11"/>
  <c r="F25" i="11"/>
  <c r="F29" i="11" s="1"/>
  <c r="F24" i="11"/>
  <c r="F28" i="11" s="1"/>
  <c r="F26" i="11"/>
  <c r="F30" i="11" s="1"/>
  <c r="B62" i="11"/>
  <c r="B54" i="11"/>
  <c r="F51" i="11"/>
  <c r="C41" i="11"/>
  <c r="C30" i="11"/>
  <c r="B42" i="11"/>
  <c r="D29" i="11"/>
  <c r="D40" i="11"/>
  <c r="D54" i="11"/>
  <c r="C27" i="11"/>
  <c r="C28" i="11"/>
  <c r="C39" i="11"/>
  <c r="C29" i="11"/>
  <c r="C40" i="11"/>
  <c r="D27" i="11"/>
  <c r="D28" i="11"/>
  <c r="D39" i="11"/>
  <c r="B31" i="11"/>
  <c r="D41" i="11"/>
  <c r="D30" i="11"/>
  <c r="C54" i="11"/>
  <c r="C42" i="11" l="1"/>
  <c r="F27" i="11"/>
  <c r="C31" i="11"/>
  <c r="F54" i="11"/>
  <c r="D42" i="11"/>
  <c r="D31" i="11"/>
  <c r="B65" i="11"/>
  <c r="F31" i="11" l="1"/>
  <c r="B67" i="11"/>
  <c r="B53" i="11"/>
  <c r="F42" i="11"/>
  <c r="B69" i="11" l="1"/>
  <c r="B76" i="11"/>
  <c r="B70" i="11" l="1"/>
  <c r="C7" i="9" l="1"/>
  <c r="B7" i="9"/>
  <c r="C6" i="9"/>
  <c r="C5" i="9"/>
  <c r="C4" i="9"/>
  <c r="C3" i="9"/>
  <c r="F19" i="1" l="1"/>
  <c r="D19" i="1"/>
  <c r="C19" i="1"/>
  <c r="F16" i="1"/>
  <c r="D16" i="1"/>
  <c r="C16" i="1"/>
  <c r="B16" i="1"/>
  <c r="F82" i="1"/>
  <c r="D82" i="1"/>
  <c r="C82" i="1"/>
  <c r="B82" i="1"/>
  <c r="D66" i="1"/>
  <c r="C66" i="1"/>
  <c r="D68" i="1"/>
  <c r="C68" i="1"/>
  <c r="F52" i="1"/>
  <c r="D52" i="1"/>
  <c r="C52" i="1"/>
  <c r="D50" i="1"/>
  <c r="C50" i="1"/>
  <c r="E109" i="6" l="1"/>
  <c r="D47" i="1" l="1"/>
  <c r="C47" i="1"/>
  <c r="B25" i="8"/>
  <c r="B19" i="8"/>
  <c r="B13" i="8"/>
  <c r="B14" i="8" s="1"/>
  <c r="B7" i="8"/>
  <c r="B23" i="8"/>
  <c r="B17" i="8"/>
  <c r="B11" i="8"/>
  <c r="B8" i="8"/>
  <c r="B6" i="8"/>
  <c r="B19" i="7"/>
  <c r="B20" i="7" s="1"/>
  <c r="B9" i="7"/>
  <c r="B10" i="7" s="1"/>
  <c r="B11" i="7" s="1"/>
  <c r="B12" i="7" s="1"/>
  <c r="B15" i="7"/>
  <c r="B6" i="7"/>
  <c r="B7" i="7"/>
  <c r="B16" i="7" s="1"/>
  <c r="B17" i="7" s="1"/>
  <c r="D13" i="6"/>
  <c r="D25" i="6"/>
  <c r="D37" i="6"/>
  <c r="D49" i="6"/>
  <c r="D61" i="6"/>
  <c r="D73" i="6"/>
  <c r="D85" i="6"/>
  <c r="D97" i="6"/>
  <c r="D109" i="6"/>
  <c r="B20" i="8" l="1"/>
  <c r="B26" i="8"/>
  <c r="B21" i="7"/>
  <c r="B22" i="7" s="1"/>
  <c r="D4" i="1" l="1"/>
  <c r="D11" i="3"/>
  <c r="D4" i="4"/>
  <c r="D16" i="4"/>
  <c r="D15" i="4"/>
  <c r="D14" i="4"/>
  <c r="D13" i="4"/>
  <c r="D12" i="4"/>
  <c r="D11" i="4"/>
  <c r="D10" i="4"/>
  <c r="D9" i="4"/>
  <c r="D8" i="4"/>
  <c r="D7" i="4"/>
  <c r="D6" i="4"/>
  <c r="D5" i="4"/>
  <c r="C17" i="4"/>
  <c r="C16" i="4"/>
  <c r="B16" i="4"/>
  <c r="C15" i="4"/>
  <c r="C14" i="4"/>
  <c r="C13" i="4"/>
  <c r="C12" i="4"/>
  <c r="C11" i="4"/>
  <c r="C10" i="4"/>
  <c r="C9" i="4"/>
  <c r="C8" i="4"/>
  <c r="C7" i="4"/>
  <c r="C6" i="4"/>
  <c r="C5" i="4"/>
  <c r="C4" i="4"/>
  <c r="B19" i="2" l="1"/>
  <c r="F78" i="11" s="1"/>
  <c r="F79" i="11" s="1"/>
  <c r="F80" i="11" s="1"/>
  <c r="D13" i="1"/>
  <c r="C13" i="1"/>
  <c r="B16" i="2"/>
  <c r="B15" i="2"/>
  <c r="F66" i="1" l="1"/>
  <c r="D7" i="1" l="1"/>
  <c r="C7" i="1"/>
  <c r="D34" i="1" l="1"/>
  <c r="D38" i="1" s="1"/>
  <c r="C34" i="1"/>
  <c r="C38" i="1" s="1"/>
  <c r="D33" i="1"/>
  <c r="D37" i="1" s="1"/>
  <c r="C33" i="1"/>
  <c r="C37" i="1" s="1"/>
  <c r="D32" i="1"/>
  <c r="C32" i="1"/>
  <c r="B38" i="1"/>
  <c r="B37" i="1"/>
  <c r="D5" i="1" l="1"/>
  <c r="C5" i="1"/>
  <c r="D59" i="1"/>
  <c r="D36" i="1"/>
  <c r="D6" i="1"/>
  <c r="C11" i="3"/>
  <c r="B10" i="3"/>
  <c r="C8" i="3"/>
  <c r="B8" i="3"/>
  <c r="C59" i="1"/>
  <c r="C36" i="1"/>
  <c r="B13" i="2"/>
  <c r="B10" i="2"/>
  <c r="B8" i="2"/>
  <c r="B7" i="2"/>
  <c r="B59" i="1"/>
  <c r="B36" i="1"/>
  <c r="B4" i="1"/>
  <c r="B6" i="1" s="1"/>
  <c r="B14" i="1" s="1"/>
  <c r="B43" i="1" s="1"/>
  <c r="B10" i="1" l="1"/>
  <c r="B60" i="1" s="1"/>
  <c r="B62" i="1" s="1"/>
  <c r="B8" i="1"/>
  <c r="D14" i="1"/>
  <c r="D8" i="1"/>
  <c r="F4" i="1"/>
  <c r="D10" i="1"/>
  <c r="D60" i="1" s="1"/>
  <c r="D62" i="1" s="1"/>
  <c r="C6" i="1"/>
  <c r="C8" i="1" s="1"/>
  <c r="C75" i="1" s="1"/>
  <c r="C77" i="1" s="1"/>
  <c r="B49" i="1"/>
  <c r="D49" i="1" l="1"/>
  <c r="D43" i="1"/>
  <c r="B15" i="1"/>
  <c r="B71" i="1"/>
  <c r="B73" i="1" s="1"/>
  <c r="B75" i="1"/>
  <c r="B77" i="1" s="1"/>
  <c r="D15" i="1"/>
  <c r="D17" i="1" s="1"/>
  <c r="D18" i="1" s="1"/>
  <c r="D20" i="1" s="1"/>
  <c r="D71" i="1"/>
  <c r="D73" i="1" s="1"/>
  <c r="D75" i="1"/>
  <c r="D77" i="1" s="1"/>
  <c r="C15" i="1"/>
  <c r="C17" i="1" s="1"/>
  <c r="C18" i="1" s="1"/>
  <c r="C20" i="1" s="1"/>
  <c r="F8" i="1"/>
  <c r="D9" i="1" s="1"/>
  <c r="C71" i="1"/>
  <c r="C73" i="1" s="1"/>
  <c r="C14" i="1"/>
  <c r="C48" i="1" s="1"/>
  <c r="F48" i="1" s="1"/>
  <c r="F6" i="1"/>
  <c r="C10" i="1"/>
  <c r="B44" i="1" l="1"/>
  <c r="B17" i="1"/>
  <c r="B18" i="1" s="1"/>
  <c r="B20" i="1" s="1"/>
  <c r="D51" i="1"/>
  <c r="D54" i="1" s="1"/>
  <c r="D26" i="1"/>
  <c r="D44" i="1"/>
  <c r="C25" i="1"/>
  <c r="C29" i="1" s="1"/>
  <c r="C44" i="1"/>
  <c r="C49" i="1"/>
  <c r="C43" i="1"/>
  <c r="D25" i="1"/>
  <c r="D29" i="1" s="1"/>
  <c r="D24" i="1"/>
  <c r="D39" i="1" s="1"/>
  <c r="C24" i="1"/>
  <c r="C28" i="1" s="1"/>
  <c r="B26" i="1"/>
  <c r="B24" i="1"/>
  <c r="B39" i="1" s="1"/>
  <c r="B25" i="1"/>
  <c r="B29" i="1" s="1"/>
  <c r="C26" i="1"/>
  <c r="C30" i="1" s="1"/>
  <c r="F75" i="1"/>
  <c r="F77" i="1" s="1"/>
  <c r="F78" i="1" s="1"/>
  <c r="F79" i="1" s="1"/>
  <c r="F80" i="1" s="1"/>
  <c r="B9" i="1"/>
  <c r="F9" i="1"/>
  <c r="C9" i="1"/>
  <c r="F15" i="1"/>
  <c r="F71" i="1"/>
  <c r="F73" i="1" s="1"/>
  <c r="D41" i="1"/>
  <c r="D30" i="1"/>
  <c r="F14" i="1"/>
  <c r="F43" i="1" s="1"/>
  <c r="C60" i="1"/>
  <c r="F10" i="1"/>
  <c r="F44" i="1" l="1"/>
  <c r="F17" i="1"/>
  <c r="F18" i="1" s="1"/>
  <c r="D28" i="1"/>
  <c r="D31" i="1" s="1"/>
  <c r="D27" i="1"/>
  <c r="D40" i="1"/>
  <c r="D42" i="1" s="1"/>
  <c r="D65" i="1" s="1"/>
  <c r="D83" i="1" s="1"/>
  <c r="C31" i="1"/>
  <c r="C41" i="1"/>
  <c r="B28" i="1"/>
  <c r="B27" i="1"/>
  <c r="B30" i="1"/>
  <c r="B41" i="1"/>
  <c r="C27" i="1"/>
  <c r="B40" i="1"/>
  <c r="B51" i="1"/>
  <c r="B54" i="1" s="1"/>
  <c r="F24" i="1"/>
  <c r="F28" i="1" s="1"/>
  <c r="C39" i="1"/>
  <c r="C62" i="1"/>
  <c r="F62" i="1" s="1"/>
  <c r="F60" i="1"/>
  <c r="F26" i="1"/>
  <c r="F30" i="1" s="1"/>
  <c r="F20" i="1" l="1"/>
  <c r="F85" i="1"/>
  <c r="F86" i="1" s="1"/>
  <c r="D67" i="1"/>
  <c r="D69" i="1" s="1"/>
  <c r="D70" i="1" s="1"/>
  <c r="B42" i="1"/>
  <c r="B65" i="1" s="1"/>
  <c r="B83" i="1" s="1"/>
  <c r="B31" i="1"/>
  <c r="F31" i="1" s="1"/>
  <c r="D53" i="1"/>
  <c r="C40" i="1"/>
  <c r="C42" i="1" s="1"/>
  <c r="F25" i="1"/>
  <c r="F29" i="1" s="1"/>
  <c r="D76" i="1" l="1"/>
  <c r="B67" i="1"/>
  <c r="B53" i="1"/>
  <c r="F42" i="1"/>
  <c r="F27" i="1"/>
  <c r="B69" i="1" l="1"/>
  <c r="B70" i="1" s="1"/>
  <c r="B76" i="1"/>
  <c r="C51" i="1"/>
  <c r="C54" i="1" s="1"/>
  <c r="B17" i="13"/>
  <c r="F49" i="1" l="1"/>
  <c r="B17" i="2"/>
  <c r="F51" i="1"/>
  <c r="F54" i="1" s="1"/>
  <c r="C65" i="1"/>
  <c r="C83" i="1" s="1"/>
  <c r="C53" i="1" l="1"/>
  <c r="C67" i="1"/>
  <c r="C76" i="1" s="1"/>
  <c r="F65" i="1"/>
  <c r="F83" i="1" s="1"/>
  <c r="F53" i="1" l="1"/>
  <c r="C69" i="1"/>
  <c r="F67" i="1"/>
  <c r="F76" i="1" s="1"/>
  <c r="C70" i="1" l="1"/>
  <c r="F70" i="1" s="1"/>
  <c r="F69" i="1"/>
  <c r="B20" i="2" l="1"/>
  <c r="B20" i="13"/>
  <c r="B9" i="14" l="1"/>
  <c r="D62" i="11" l="1"/>
  <c r="D65" i="11" s="1"/>
  <c r="D53" i="11" l="1"/>
  <c r="D67" i="11"/>
  <c r="C62" i="11"/>
  <c r="C65" i="11" l="1"/>
  <c r="F62" i="11"/>
  <c r="D69" i="11"/>
  <c r="D70" i="11" s="1"/>
  <c r="D76" i="11"/>
  <c r="F65" i="11" l="1"/>
  <c r="C67" i="11"/>
  <c r="C53" i="11"/>
  <c r="C76" i="11" l="1"/>
  <c r="F67" i="11"/>
  <c r="F76" i="11" s="1"/>
  <c r="C69" i="11"/>
  <c r="G65" i="11"/>
  <c r="F53" i="11"/>
  <c r="F69" i="11" l="1"/>
  <c r="C70" i="11"/>
  <c r="F70" i="11" s="1"/>
</calcChain>
</file>

<file path=xl/sharedStrings.xml><?xml version="1.0" encoding="utf-8"?>
<sst xmlns="http://schemas.openxmlformats.org/spreadsheetml/2006/main" count="389" uniqueCount="177">
  <si>
    <t>California</t>
  </si>
  <si>
    <t>Renewables All</t>
  </si>
  <si>
    <t>Balance Needed</t>
  </si>
  <si>
    <t>Desired mix ratio solar/wind</t>
  </si>
  <si>
    <t>Solar needed</t>
  </si>
  <si>
    <t>Wind needed</t>
  </si>
  <si>
    <t>Solar</t>
  </si>
  <si>
    <t>Gwatts needed</t>
  </si>
  <si>
    <t>Gw residential</t>
  </si>
  <si>
    <t>Gw commercial</t>
  </si>
  <si>
    <t>Ave residential raw rate</t>
  </si>
  <si>
    <t>Ave commercial raw rate</t>
  </si>
  <si>
    <t>ITC</t>
  </si>
  <si>
    <t>Ave final residential rate</t>
  </si>
  <si>
    <t>Ave final commercial rate</t>
  </si>
  <si>
    <t>Cost total residential (Billions)</t>
  </si>
  <si>
    <t xml:space="preserve">Cost total </t>
  </si>
  <si>
    <t>Storage needed</t>
  </si>
  <si>
    <t>Storage</t>
  </si>
  <si>
    <t>Total</t>
  </si>
  <si>
    <t xml:space="preserve">Hours storage </t>
  </si>
  <si>
    <t>Total Gwh needed</t>
  </si>
  <si>
    <t>Storage cost rate $/kwh</t>
  </si>
  <si>
    <t>Total cost (Billions)</t>
  </si>
  <si>
    <t>Lifetime years</t>
  </si>
  <si>
    <t>Wind</t>
  </si>
  <si>
    <t>Ave  kwh/kw per year</t>
  </si>
  <si>
    <t>2016 Generated power GWh</t>
  </si>
  <si>
    <t>2016 Capacity Gw</t>
  </si>
  <si>
    <t>Gw needed</t>
  </si>
  <si>
    <t>Cost rate $/watt</t>
  </si>
  <si>
    <t>Cost (Billions)</t>
  </si>
  <si>
    <t>Total cost solar+wind+storage</t>
  </si>
  <si>
    <t>Years to install</t>
  </si>
  <si>
    <t>Cost per person per year</t>
  </si>
  <si>
    <t>Population</t>
  </si>
  <si>
    <t>Cost per day</t>
  </si>
  <si>
    <t>EV</t>
  </si>
  <si>
    <t>Mean miles day per household</t>
  </si>
  <si>
    <t>Fuel per day household gal</t>
  </si>
  <si>
    <t>Mean fuell mpg</t>
  </si>
  <si>
    <t>Vehicles millions</t>
  </si>
  <si>
    <t>Total vehicle billion miles/yr</t>
  </si>
  <si>
    <t>Ave miles/yr</t>
  </si>
  <si>
    <t>Fuel dispensed per day gal</t>
  </si>
  <si>
    <t>Fuel per year billion gal</t>
  </si>
  <si>
    <t>All vehicle mpg</t>
  </si>
  <si>
    <t>Estimate kwh per mile for all EV</t>
  </si>
  <si>
    <t>Total Gwh per year</t>
  </si>
  <si>
    <t>Electric generation</t>
  </si>
  <si>
    <t xml:space="preserve"> </t>
  </si>
  <si>
    <t>Natural gas</t>
  </si>
  <si>
    <t>Percent imported</t>
  </si>
  <si>
    <t>Residential bcf/yr</t>
  </si>
  <si>
    <t>Commercial</t>
  </si>
  <si>
    <t>Industrial</t>
  </si>
  <si>
    <t>vehicle</t>
  </si>
  <si>
    <t>Electric Power</t>
  </si>
  <si>
    <t>NG Electric power in Gwh</t>
  </si>
  <si>
    <t>After</t>
  </si>
  <si>
    <t>Gwh equiv of remainder</t>
  </si>
  <si>
    <t>wh per cf</t>
  </si>
  <si>
    <t>NG remainder</t>
  </si>
  <si>
    <t>Totals</t>
  </si>
  <si>
    <t>Gw large scale</t>
  </si>
  <si>
    <t>Percent commercial</t>
  </si>
  <si>
    <t>percent large scale</t>
  </si>
  <si>
    <t>Percent residential</t>
  </si>
  <si>
    <t>Ave large scale raw rate</t>
  </si>
  <si>
    <t>Ave final large scale rate</t>
  </si>
  <si>
    <t>Cost total large scale (Billions)</t>
  </si>
  <si>
    <t>Over generation percent</t>
  </si>
  <si>
    <t>Total solar needed</t>
  </si>
  <si>
    <t>Gwatts with over generation needed</t>
  </si>
  <si>
    <t>% of total cost</t>
  </si>
  <si>
    <t>Gwh per year needed</t>
  </si>
  <si>
    <t>Gw residential per year</t>
  </si>
  <si>
    <t xml:space="preserve"> Gw commercial per year</t>
  </si>
  <si>
    <t>Gw large scale per year</t>
  </si>
  <si>
    <t>Total per year</t>
  </si>
  <si>
    <t>Ave vehicle range mi</t>
  </si>
  <si>
    <t>kwh storage per vehicle</t>
  </si>
  <si>
    <t>Gwh storage all vehicles</t>
  </si>
  <si>
    <t>Ratio ev to storage needed</t>
  </si>
  <si>
    <t>Average kwh/kw per year (AC)</t>
  </si>
  <si>
    <t>Total overproduction</t>
  </si>
  <si>
    <t>Rate for generation</t>
  </si>
  <si>
    <t>Value of overproduction</t>
  </si>
  <si>
    <t>Gas savings per day per person</t>
  </si>
  <si>
    <t>Fuel rate</t>
  </si>
  <si>
    <t>Total Gwh</t>
  </si>
  <si>
    <t>Value at current cost billions</t>
  </si>
  <si>
    <t>Current average cost rate $/kwh</t>
  </si>
  <si>
    <t>LCOE</t>
  </si>
  <si>
    <t>Long term storage cost use $/kwh</t>
  </si>
  <si>
    <t>Value generated per day per person</t>
  </si>
  <si>
    <t>Value including gas savings</t>
  </si>
  <si>
    <t>Per year</t>
  </si>
  <si>
    <t>Percent of whole</t>
  </si>
  <si>
    <t>Month</t>
  </si>
  <si>
    <t>Therms</t>
  </si>
  <si>
    <t>bcuf</t>
  </si>
  <si>
    <t>2016 statewide monthly natural gas consumption (Data is in Therms) non electric generation totals</t>
  </si>
  <si>
    <t>Gwh equiv</t>
  </si>
  <si>
    <t>Year</t>
  </si>
  <si>
    <t>kWh</t>
  </si>
  <si>
    <t>Battery Storage with Solar PV</t>
  </si>
  <si>
    <t>kwh</t>
  </si>
  <si>
    <t>Solar PV size</t>
  </si>
  <si>
    <t>kw</t>
  </si>
  <si>
    <t>Annual generation</t>
  </si>
  <si>
    <t>Average hourly use</t>
  </si>
  <si>
    <t>Generation/load ratio</t>
  </si>
  <si>
    <t>Hours where solar&gt;load</t>
  </si>
  <si>
    <t>Remainder hours battery powered</t>
  </si>
  <si>
    <t>Ratio PV size to battery size</t>
  </si>
  <si>
    <t>Cost/year billions</t>
  </si>
  <si>
    <t>Family of 4</t>
  </si>
  <si>
    <t>Example flat load</t>
  </si>
  <si>
    <t>California load</t>
  </si>
  <si>
    <t>Usage per year</t>
  </si>
  <si>
    <t>Usage per year normalized</t>
  </si>
  <si>
    <t>Percent of total energy needed</t>
  </si>
  <si>
    <t>Averge daily use</t>
  </si>
  <si>
    <t>Solar needed per person in kw</t>
  </si>
  <si>
    <t>Solar needed with overgen per person kw</t>
  </si>
  <si>
    <t>USA population</t>
  </si>
  <si>
    <t>Multiplier</t>
  </si>
  <si>
    <t>Solar array density acres/Mw</t>
  </si>
  <si>
    <t>Solar array acres needed</t>
  </si>
  <si>
    <t>Solar array square miles</t>
  </si>
  <si>
    <t>Area of California</t>
  </si>
  <si>
    <t>Percent of california needed</t>
  </si>
  <si>
    <t>California Energy Mix Totals</t>
  </si>
  <si>
    <t>Renewables</t>
  </si>
  <si>
    <t>Actual Load</t>
  </si>
  <si>
    <t>%</t>
  </si>
  <si>
    <t>Solar+Wind</t>
  </si>
  <si>
    <t>Gas savings ratio over esavings</t>
  </si>
  <si>
    <t>Extrapolated costs for USA (trillions)</t>
  </si>
  <si>
    <t>Area of USA</t>
  </si>
  <si>
    <t>Solar array size</t>
  </si>
  <si>
    <t>Percent of USA</t>
  </si>
  <si>
    <t>All vehicles billion miles/day</t>
  </si>
  <si>
    <t>GHG saved</t>
  </si>
  <si>
    <t>Electric generation from sim model</t>
  </si>
  <si>
    <t>kg</t>
  </si>
  <si>
    <t>EV avoided use</t>
  </si>
  <si>
    <t>co2 lbs per btu</t>
  </si>
  <si>
    <t>co2 kg per btu</t>
  </si>
  <si>
    <t>co2 kg per therm</t>
  </si>
  <si>
    <t>NG avoided use</t>
  </si>
  <si>
    <t>co2 lbs per therm</t>
  </si>
  <si>
    <t>Total mT</t>
  </si>
  <si>
    <t>mT</t>
  </si>
  <si>
    <t>Million mT</t>
  </si>
  <si>
    <t>Simple extrapolate USA</t>
  </si>
  <si>
    <t>Emissions USA 2014</t>
  </si>
  <si>
    <t>NG Eletric power</t>
  </si>
  <si>
    <t>NG less electric</t>
  </si>
  <si>
    <t>Factor over California</t>
  </si>
  <si>
    <t>USA</t>
  </si>
  <si>
    <t>billions therms remainder</t>
  </si>
  <si>
    <t>2017 Capacity</t>
  </si>
  <si>
    <t>Wind Storage Factor</t>
  </si>
  <si>
    <t>Total GWH based on fuel</t>
  </si>
  <si>
    <t>kwh per gal</t>
  </si>
  <si>
    <t>Ratio of light vehicle to heavy</t>
  </si>
  <si>
    <t>2016 Solar</t>
  </si>
  <si>
    <t>2017 Solar</t>
  </si>
  <si>
    <t>2018 Solar</t>
  </si>
  <si>
    <t>Increase over last 2 years</t>
  </si>
  <si>
    <t>Average per year</t>
  </si>
  <si>
    <t>Rate relative to goal</t>
  </si>
  <si>
    <t>Energy per year per person</t>
  </si>
  <si>
    <t>Factor USA vs California</t>
  </si>
  <si>
    <t>Acres per mile of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</si>
</sst>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&quot;$&quot;#,##0.00"/>
    <numFmt numFmtId="167" formatCode="&quot;$&quot;#,##0.0"/>
    <numFmt numFmtId="168" formatCode="0.0%"/>
    <numFmt numFmtId="169" formatCode="&quot;$&quot;#,##0.000_);[Red]\(&quot;$&quot;#,##0.000\)"/>
    <numFmt numFmtId="170" formatCode="&quot;$&quot;#,##0.000"/>
    <numFmt numFmtId="171" formatCode="_(* #,##0_);_(* \(#,##0\);_(* &quot;-&quot;??_);_(@_)"/>
    <numFmt numFmtId="172" formatCode="0.000"/>
    <numFmt numFmtId="173" formatCode="0.000%"/>
    <numFmt numFmtId="17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3" fillId="0" borderId="0" xfId="0" applyFont="1"/>
    <xf numFmtId="3" fontId="0" fillId="0" borderId="0" xfId="0" applyNumberFormat="1"/>
    <xf numFmtId="9" fontId="0" fillId="0" borderId="0" xfId="0" applyNumberForma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6" fontId="0" fillId="0" borderId="0" xfId="0" applyNumberFormat="1"/>
    <xf numFmtId="8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0" fillId="0" borderId="0" xfId="0" applyNumberFormat="1"/>
    <xf numFmtId="0" fontId="0" fillId="0" borderId="0" xfId="0" applyFont="1"/>
    <xf numFmtId="166" fontId="2" fillId="0" borderId="0" xfId="0" applyNumberFormat="1" applyFont="1"/>
    <xf numFmtId="2" fontId="0" fillId="0" borderId="0" xfId="0" applyNumberFormat="1"/>
    <xf numFmtId="167" fontId="2" fillId="0" borderId="0" xfId="0" applyNumberFormat="1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5" fillId="2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right" wrapText="1"/>
    </xf>
    <xf numFmtId="171" fontId="5" fillId="0" borderId="1" xfId="1" applyNumberFormat="1" applyFont="1" applyFill="1" applyBorder="1" applyAlignment="1">
      <alignment horizontal="right" wrapText="1"/>
    </xf>
    <xf numFmtId="171" fontId="0" fillId="0" borderId="0" xfId="1" applyNumberFormat="1" applyFont="1"/>
    <xf numFmtId="171" fontId="0" fillId="0" borderId="0" xfId="0" applyNumberFormat="1"/>
    <xf numFmtId="8" fontId="2" fillId="0" borderId="0" xfId="0" applyNumberFormat="1" applyFont="1"/>
    <xf numFmtId="172" fontId="0" fillId="0" borderId="0" xfId="0" applyNumberFormat="1"/>
    <xf numFmtId="16" fontId="0" fillId="0" borderId="0" xfId="0" applyNumberFormat="1"/>
    <xf numFmtId="10" fontId="0" fillId="0" borderId="0" xfId="0" applyNumberFormat="1"/>
    <xf numFmtId="6" fontId="2" fillId="0" borderId="0" xfId="0" applyNumberFormat="1" applyFont="1"/>
    <xf numFmtId="41" fontId="0" fillId="0" borderId="0" xfId="0" applyNumberFormat="1"/>
    <xf numFmtId="164" fontId="2" fillId="0" borderId="0" xfId="0" applyNumberFormat="1" applyFont="1"/>
    <xf numFmtId="3" fontId="2" fillId="0" borderId="0" xfId="0" applyNumberFormat="1" applyFont="1"/>
    <xf numFmtId="164" fontId="0" fillId="0" borderId="0" xfId="0" applyNumberFormat="1" applyFont="1"/>
    <xf numFmtId="173" fontId="2" fillId="0" borderId="0" xfId="0" applyNumberFormat="1" applyFont="1"/>
    <xf numFmtId="174" fontId="2" fillId="0" borderId="0" xfId="0" applyNumberFormat="1" applyFont="1"/>
    <xf numFmtId="11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</cellXfs>
  <cellStyles count="3">
    <cellStyle name="Comma" xfId="1" builtinId="3"/>
    <cellStyle name="Normal" xfId="0" builtinId="0"/>
    <cellStyle name="Normal_Sheet1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</a:t>
            </a:r>
            <a:r>
              <a:rPr lang="en-US" baseline="0"/>
              <a:t> use segments</a:t>
            </a:r>
          </a:p>
          <a:p>
            <a:pPr>
              <a:defRPr/>
            </a:pPr>
            <a:r>
              <a:rPr lang="en-US" baseline="0"/>
              <a:t>Replaced by Renewables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'Totals USA'!$B$1:$D$1</c:f>
              <c:strCache>
                <c:ptCount val="3"/>
                <c:pt idx="0">
                  <c:v>Electric generation</c:v>
                </c:pt>
                <c:pt idx="1">
                  <c:v>EV</c:v>
                </c:pt>
                <c:pt idx="2">
                  <c:v>NG remainder</c:v>
                </c:pt>
              </c:strCache>
            </c:strRef>
          </c:cat>
          <c:val>
            <c:numRef>
              <c:f>'Totals USA'!$B$9:$D$9</c:f>
              <c:numCache>
                <c:formatCode>0.0%</c:formatCode>
                <c:ptCount val="3"/>
                <c:pt idx="0">
                  <c:v>0.53081721888061106</c:v>
                </c:pt>
                <c:pt idx="1">
                  <c:v>0.19268189040439349</c:v>
                </c:pt>
                <c:pt idx="2">
                  <c:v>0.27650089071499556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</a:t>
            </a:r>
            <a:r>
              <a:rPr lang="en-US" baseline="0"/>
              <a:t> use segments</a:t>
            </a:r>
          </a:p>
          <a:p>
            <a:pPr>
              <a:defRPr/>
            </a:pPr>
            <a:r>
              <a:rPr lang="en-US" baseline="0"/>
              <a:t>Replaced by Renewables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'Totals California'!$B$1:$D$1</c:f>
              <c:strCache>
                <c:ptCount val="3"/>
                <c:pt idx="0">
                  <c:v>Electric generation</c:v>
                </c:pt>
                <c:pt idx="1">
                  <c:v>EV</c:v>
                </c:pt>
                <c:pt idx="2">
                  <c:v>NG remainder</c:v>
                </c:pt>
              </c:strCache>
            </c:strRef>
          </c:cat>
          <c:val>
            <c:numRef>
              <c:f>'Totals California'!$B$9:$D$9</c:f>
              <c:numCache>
                <c:formatCode>0.0%</c:formatCode>
                <c:ptCount val="3"/>
                <c:pt idx="0">
                  <c:v>0.37185352161234642</c:v>
                </c:pt>
                <c:pt idx="1">
                  <c:v>0.31819060925187975</c:v>
                </c:pt>
                <c:pt idx="2">
                  <c:v>0.30995586913577389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California natural gas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'NG 2016'!$B$4:$B$15</c:f>
              <c:numCache>
                <c:formatCode>_(* #,##0_);_(* \(#,##0\);_(* "-"??_);_(@_)</c:formatCode>
                <c:ptCount val="12"/>
                <c:pt idx="0">
                  <c:v>1665086864.1199999</c:v>
                </c:pt>
                <c:pt idx="1">
                  <c:v>1315042770.25</c:v>
                </c:pt>
                <c:pt idx="2">
                  <c:v>998498668.72000003</c:v>
                </c:pt>
                <c:pt idx="3">
                  <c:v>955239483.89999998</c:v>
                </c:pt>
                <c:pt idx="4">
                  <c:v>870356342.98000002</c:v>
                </c:pt>
                <c:pt idx="5">
                  <c:v>854728432.01999998</c:v>
                </c:pt>
                <c:pt idx="6">
                  <c:v>851323076.38</c:v>
                </c:pt>
                <c:pt idx="7">
                  <c:v>873839979.62</c:v>
                </c:pt>
                <c:pt idx="8">
                  <c:v>926664739.50999999</c:v>
                </c:pt>
                <c:pt idx="9">
                  <c:v>884632623.98000002</c:v>
                </c:pt>
                <c:pt idx="10">
                  <c:v>910326247.88999999</c:v>
                </c:pt>
                <c:pt idx="11">
                  <c:v>1218391846.49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06440"/>
        <c:axId val="313306832"/>
      </c:lineChart>
      <c:catAx>
        <c:axId val="31330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06832"/>
        <c:crosses val="autoZero"/>
        <c:auto val="1"/>
        <c:lblAlgn val="ctr"/>
        <c:lblOffset val="100"/>
        <c:noMultiLvlLbl val="0"/>
      </c:catAx>
      <c:valAx>
        <c:axId val="3133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0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  <a:r>
              <a:rPr lang="en-US" baseline="0"/>
              <a:t> California ng counsumption electric equivalent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'NG 2016'!$D$4:$D$15</c:f>
              <c:numCache>
                <c:formatCode>#,##0</c:formatCode>
                <c:ptCount val="12"/>
                <c:pt idx="0">
                  <c:v>15377.000578203721</c:v>
                </c:pt>
                <c:pt idx="1">
                  <c:v>12144.359477115875</c:v>
                </c:pt>
                <c:pt idx="2">
                  <c:v>9221.0892639271678</c:v>
                </c:pt>
                <c:pt idx="3">
                  <c:v>8821.5926825032802</c:v>
                </c:pt>
                <c:pt idx="4">
                  <c:v>8037.7007816465566</c:v>
                </c:pt>
                <c:pt idx="5">
                  <c:v>7893.3777429833199</c:v>
                </c:pt>
                <c:pt idx="6">
                  <c:v>7861.9294403309868</c:v>
                </c:pt>
                <c:pt idx="7">
                  <c:v>8069.8720057321189</c:v>
                </c:pt>
                <c:pt idx="8">
                  <c:v>8557.7062328078919</c:v>
                </c:pt>
                <c:pt idx="9">
                  <c:v>8169.5415798187396</c:v>
                </c:pt>
                <c:pt idx="10">
                  <c:v>8406.8210144439272</c:v>
                </c:pt>
                <c:pt idx="11">
                  <c:v>11251.792643176612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00560"/>
        <c:axId val="313307224"/>
      </c:lineChart>
      <c:catAx>
        <c:axId val="3133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07224"/>
        <c:crosses val="autoZero"/>
        <c:auto val="1"/>
        <c:lblAlgn val="ctr"/>
        <c:lblOffset val="100"/>
        <c:noMultiLvlLbl val="0"/>
      </c:catAx>
      <c:valAx>
        <c:axId val="31330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0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use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'CEC electric use'!$C$98:$C$109</c:f>
              <c:numCache>
                <c:formatCode>_(* #,##0_);_(* \(#,##0\);_(* "-"??_);_(@_)</c:formatCode>
                <c:ptCount val="12"/>
                <c:pt idx="0">
                  <c:v>20772266742.919998</c:v>
                </c:pt>
                <c:pt idx="1">
                  <c:v>19034937314.869999</c:v>
                </c:pt>
                <c:pt idx="2">
                  <c:v>19717198662.880001</c:v>
                </c:pt>
                <c:pt idx="3">
                  <c:v>19377327117.240002</c:v>
                </c:pt>
                <c:pt idx="4">
                  <c:v>19823719362.900002</c:v>
                </c:pt>
                <c:pt idx="5">
                  <c:v>21802593802.52</c:v>
                </c:pt>
                <c:pt idx="6">
                  <c:v>25447994458.200001</c:v>
                </c:pt>
                <c:pt idx="7">
                  <c:v>26358050426.330002</c:v>
                </c:pt>
                <c:pt idx="8">
                  <c:v>24555947297.779999</c:v>
                </c:pt>
                <c:pt idx="9">
                  <c:v>22228812291.490002</c:v>
                </c:pt>
                <c:pt idx="10">
                  <c:v>20627892648.279999</c:v>
                </c:pt>
                <c:pt idx="11">
                  <c:v>20118817619.57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01344"/>
        <c:axId val="313301736"/>
      </c:lineChart>
      <c:catAx>
        <c:axId val="31330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01736"/>
        <c:crosses val="autoZero"/>
        <c:auto val="1"/>
        <c:lblAlgn val="ctr"/>
        <c:lblOffset val="100"/>
        <c:noMultiLvlLbl val="0"/>
      </c:catAx>
      <c:valAx>
        <c:axId val="31330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2</xdr:row>
      <xdr:rowOff>137160</xdr:rowOff>
    </xdr:from>
    <xdr:to>
      <xdr:col>20</xdr:col>
      <xdr:colOff>381000</xdr:colOff>
      <xdr:row>29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2</xdr:row>
      <xdr:rowOff>137160</xdr:rowOff>
    </xdr:from>
    <xdr:to>
      <xdr:col>20</xdr:col>
      <xdr:colOff>381000</xdr:colOff>
      <xdr:row>29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18</xdr:row>
      <xdr:rowOff>15240</xdr:rowOff>
    </xdr:from>
    <xdr:to>
      <xdr:col>14</xdr:col>
      <xdr:colOff>30480</xdr:colOff>
      <xdr:row>33</xdr:row>
      <xdr:rowOff>99060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1</xdr:row>
      <xdr:rowOff>167640</xdr:rowOff>
    </xdr:from>
    <xdr:to>
      <xdr:col>14</xdr:col>
      <xdr:colOff>60960</xdr:colOff>
      <xdr:row>16</xdr:row>
      <xdr:rowOff>167640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238124</xdr:colOff>
      <xdr:row>23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7553324" cy="420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Cover Sheet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Statewide Electricity Use (kWh), 2008-2017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Energy Assessments Division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8-15-2017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Summary: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Reported electricity retail sales/deliveries (kWh) in California for the years 2008 through 2017.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of Data: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Energy Consumption Data Management System (ECDMS).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Primary Contact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Julianne Alontave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Demand Analysis Office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916-651-2902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Julianne.Alontave@energy.ca.gov 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97</xdr:row>
      <xdr:rowOff>0</xdr:rowOff>
    </xdr:from>
    <xdr:to>
      <xdr:col>15</xdr:col>
      <xdr:colOff>7620</xdr:colOff>
      <xdr:row>113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9" workbookViewId="0">
      <selection activeCell="B14" sqref="B14"/>
    </sheetView>
  </sheetViews>
  <sheetFormatPr defaultRowHeight="14.4" x14ac:dyDescent="0.3"/>
  <cols>
    <col min="1" max="1" width="37.5546875" bestFit="1" customWidth="1"/>
    <col min="2" max="2" width="18.109375" bestFit="1" customWidth="1"/>
    <col min="3" max="3" width="10.6640625" customWidth="1"/>
    <col min="4" max="4" width="12.33203125" bestFit="1" customWidth="1"/>
    <col min="5" max="5" width="10" customWidth="1"/>
    <col min="6" max="6" width="12.21875" customWidth="1"/>
  </cols>
  <sheetData>
    <row r="1" spans="1:7" ht="18" x14ac:dyDescent="0.35">
      <c r="A1" s="1" t="s">
        <v>161</v>
      </c>
      <c r="B1" s="4" t="s">
        <v>49</v>
      </c>
      <c r="C1" s="4" t="s">
        <v>37</v>
      </c>
      <c r="D1" s="4" t="s">
        <v>62</v>
      </c>
      <c r="F1" s="4" t="s">
        <v>63</v>
      </c>
      <c r="G1" s="4" t="s">
        <v>160</v>
      </c>
    </row>
    <row r="2" spans="1:7" x14ac:dyDescent="0.3">
      <c r="A2" t="s">
        <v>90</v>
      </c>
      <c r="B2" s="2">
        <v>4178000</v>
      </c>
      <c r="C2" s="2" t="s">
        <v>50</v>
      </c>
      <c r="G2" s="14">
        <f>B2/'Totals California'!B2</f>
        <v>18.483208946970265</v>
      </c>
    </row>
    <row r="3" spans="1:7" x14ac:dyDescent="0.3">
      <c r="A3" t="s">
        <v>1</v>
      </c>
      <c r="B3" s="2">
        <f>14.94%*B2</f>
        <v>624193.20000000007</v>
      </c>
      <c r="C3" s="2" t="s">
        <v>50</v>
      </c>
    </row>
    <row r="4" spans="1:7" x14ac:dyDescent="0.3">
      <c r="A4" t="s">
        <v>2</v>
      </c>
      <c r="B4" s="2">
        <f>B2-B3</f>
        <v>3553806.8</v>
      </c>
      <c r="C4" s="2">
        <f>'EV USA'!B22</f>
        <v>1290000</v>
      </c>
      <c r="D4" s="2">
        <f>'NG USA'!B12</f>
        <v>1851165.9205426355</v>
      </c>
      <c r="F4" s="2">
        <f>SUM(B4:D4)</f>
        <v>6694972.7205426358</v>
      </c>
      <c r="G4" s="14">
        <f>B4/'Totals California'!B4</f>
        <v>26.027396899099902</v>
      </c>
    </row>
    <row r="5" spans="1:7" x14ac:dyDescent="0.3">
      <c r="A5" t="s">
        <v>3</v>
      </c>
      <c r="B5" s="3">
        <v>0.5</v>
      </c>
      <c r="C5" s="3">
        <f>B5</f>
        <v>0.5</v>
      </c>
      <c r="D5" s="3">
        <f>B5</f>
        <v>0.5</v>
      </c>
    </row>
    <row r="6" spans="1:7" x14ac:dyDescent="0.3">
      <c r="A6" t="s">
        <v>4</v>
      </c>
      <c r="B6" s="2">
        <f>B4*B5</f>
        <v>1776903.4</v>
      </c>
      <c r="C6" s="2">
        <f>C4*C5</f>
        <v>645000</v>
      </c>
      <c r="D6" s="2">
        <f>D4*D5</f>
        <v>925582.96027131774</v>
      </c>
      <c r="F6" s="2">
        <f>SUM(B6:D6)</f>
        <v>3347486.3602713179</v>
      </c>
    </row>
    <row r="7" spans="1:7" x14ac:dyDescent="0.3">
      <c r="A7" t="s">
        <v>71</v>
      </c>
      <c r="B7" s="3">
        <v>0.5</v>
      </c>
      <c r="C7" s="3">
        <f>B7</f>
        <v>0.5</v>
      </c>
      <c r="D7" s="3">
        <f>B7</f>
        <v>0.5</v>
      </c>
      <c r="F7" s="2"/>
    </row>
    <row r="8" spans="1:7" x14ac:dyDescent="0.3">
      <c r="A8" t="s">
        <v>72</v>
      </c>
      <c r="B8" s="2">
        <f>B6*(1+B7)</f>
        <v>2665355.0999999996</v>
      </c>
      <c r="C8" s="2">
        <f t="shared" ref="C8:D8" si="0">C6*(1+C7)</f>
        <v>967500</v>
      </c>
      <c r="D8" s="2">
        <f t="shared" si="0"/>
        <v>1388374.4404069767</v>
      </c>
      <c r="F8" s="2">
        <f>SUM(B8:D8)</f>
        <v>5021229.5404069759</v>
      </c>
    </row>
    <row r="9" spans="1:7" x14ac:dyDescent="0.3">
      <c r="A9" t="s">
        <v>98</v>
      </c>
      <c r="B9" s="16">
        <f>B8/$F$8</f>
        <v>0.53081721888061106</v>
      </c>
      <c r="C9" s="16">
        <f t="shared" ref="C9:F9" si="1">C8/$F$8</f>
        <v>0.19268189040439349</v>
      </c>
      <c r="D9" s="16">
        <f t="shared" si="1"/>
        <v>0.27650089071499556</v>
      </c>
      <c r="E9" s="16" t="s">
        <v>50</v>
      </c>
      <c r="F9" s="16">
        <f t="shared" si="1"/>
        <v>1</v>
      </c>
    </row>
    <row r="10" spans="1:7" x14ac:dyDescent="0.3">
      <c r="A10" t="s">
        <v>5</v>
      </c>
      <c r="B10" s="2">
        <f>B4-B6</f>
        <v>1776903.4</v>
      </c>
      <c r="C10" s="2">
        <f>C4-C6</f>
        <v>645000</v>
      </c>
      <c r="D10" s="2">
        <f>D4-D6</f>
        <v>925582.96027131774</v>
      </c>
      <c r="F10" s="2">
        <f>SUM(B10:D10)</f>
        <v>3347486.3602713179</v>
      </c>
    </row>
    <row r="12" spans="1:7" x14ac:dyDescent="0.3">
      <c r="A12" s="4" t="s">
        <v>6</v>
      </c>
    </row>
    <row r="13" spans="1:7" x14ac:dyDescent="0.3">
      <c r="A13" s="4" t="s">
        <v>84</v>
      </c>
      <c r="B13">
        <v>1600</v>
      </c>
      <c r="C13">
        <f>B13</f>
        <v>1600</v>
      </c>
      <c r="D13">
        <f>B13</f>
        <v>1600</v>
      </c>
      <c r="F13">
        <f>D13</f>
        <v>1600</v>
      </c>
    </row>
    <row r="14" spans="1:7" x14ac:dyDescent="0.3">
      <c r="A14" t="s">
        <v>7</v>
      </c>
      <c r="B14" s="30">
        <f>(B6*1000000/B13)/1000000</f>
        <v>1110.564625</v>
      </c>
      <c r="C14" s="30">
        <f>(C6*1000000/C13)/1000000</f>
        <v>403.125</v>
      </c>
      <c r="D14" s="30">
        <f>(D6*1000000/D13)/1000000</f>
        <v>578.48935016957353</v>
      </c>
      <c r="E14" s="4"/>
      <c r="F14" s="31">
        <f>SUM(B14:D14)</f>
        <v>2092.1789751695733</v>
      </c>
    </row>
    <row r="15" spans="1:7" x14ac:dyDescent="0.3">
      <c r="A15" t="s">
        <v>73</v>
      </c>
      <c r="B15" s="30">
        <f>(B8*1000000/B13)/1000000</f>
        <v>1665.8469374999997</v>
      </c>
      <c r="C15" s="30">
        <f t="shared" ref="C15:D15" si="2">(C8*1000000/C13)/1000000</f>
        <v>604.6875</v>
      </c>
      <c r="D15" s="30">
        <f t="shared" si="2"/>
        <v>867.73402525436052</v>
      </c>
      <c r="E15" s="4"/>
      <c r="F15" s="31">
        <f>SUM(B15:D15)</f>
        <v>3138.2684627543599</v>
      </c>
    </row>
    <row r="16" spans="1:7" x14ac:dyDescent="0.3">
      <c r="A16" t="s">
        <v>128</v>
      </c>
      <c r="B16" s="32">
        <f>0.74/0.5</f>
        <v>1.48</v>
      </c>
      <c r="C16" s="32">
        <f>B16</f>
        <v>1.48</v>
      </c>
      <c r="D16" s="32">
        <f>B16</f>
        <v>1.48</v>
      </c>
      <c r="E16" s="12"/>
      <c r="F16" s="32">
        <f>B16</f>
        <v>1.48</v>
      </c>
    </row>
    <row r="17" spans="1:6" x14ac:dyDescent="0.3">
      <c r="A17" t="s">
        <v>129</v>
      </c>
      <c r="B17" s="30">
        <f>B15*1000/B16</f>
        <v>1125572.2550675673</v>
      </c>
      <c r="C17" s="30">
        <f t="shared" ref="C17:F17" si="3">C15*1000/C16</f>
        <v>408572.63513513515</v>
      </c>
      <c r="D17" s="30">
        <f t="shared" si="3"/>
        <v>586306.77382051386</v>
      </c>
      <c r="E17" s="30"/>
      <c r="F17" s="30">
        <f t="shared" si="3"/>
        <v>2120451.6640232163</v>
      </c>
    </row>
    <row r="18" spans="1:6" x14ac:dyDescent="0.3">
      <c r="A18" t="s">
        <v>130</v>
      </c>
      <c r="B18" s="30">
        <f>B17/640</f>
        <v>1758.7066485430739</v>
      </c>
      <c r="C18" s="30">
        <f t="shared" ref="C18:F18" si="4">C17/640</f>
        <v>638.39474239864865</v>
      </c>
      <c r="D18" s="30">
        <f t="shared" si="4"/>
        <v>916.10433409455288</v>
      </c>
      <c r="E18" s="30"/>
      <c r="F18" s="31">
        <f t="shared" si="4"/>
        <v>3313.2057250362755</v>
      </c>
    </row>
    <row r="19" spans="1:6" x14ac:dyDescent="0.3">
      <c r="A19" t="s">
        <v>140</v>
      </c>
      <c r="B19" s="30">
        <v>3797000</v>
      </c>
      <c r="C19" s="30">
        <f>B19</f>
        <v>3797000</v>
      </c>
      <c r="D19" s="30">
        <f>B19</f>
        <v>3797000</v>
      </c>
      <c r="E19" s="30"/>
      <c r="F19" s="30">
        <f>B19</f>
        <v>3797000</v>
      </c>
    </row>
    <row r="20" spans="1:6" x14ac:dyDescent="0.3">
      <c r="A20" t="s">
        <v>132</v>
      </c>
      <c r="B20" s="33">
        <f>B18/B19</f>
        <v>4.6318321004558177E-4</v>
      </c>
      <c r="C20" s="33">
        <f t="shared" ref="C20:F20" si="5">C18/C19</f>
        <v>1.6813135169835362E-4</v>
      </c>
      <c r="D20" s="33">
        <f t="shared" si="5"/>
        <v>2.4127056468120961E-4</v>
      </c>
      <c r="E20" s="33"/>
      <c r="F20" s="33">
        <f t="shared" si="5"/>
        <v>8.7258512642514492E-4</v>
      </c>
    </row>
    <row r="21" spans="1:6" x14ac:dyDescent="0.3">
      <c r="A21" t="s">
        <v>67</v>
      </c>
      <c r="B21" s="3">
        <v>0.2</v>
      </c>
      <c r="C21" s="3">
        <v>0.1</v>
      </c>
      <c r="D21" s="3">
        <v>0.1</v>
      </c>
    </row>
    <row r="22" spans="1:6" x14ac:dyDescent="0.3">
      <c r="A22" t="s">
        <v>65</v>
      </c>
      <c r="B22" s="3">
        <v>0.6</v>
      </c>
      <c r="C22" s="3">
        <v>0.2</v>
      </c>
      <c r="D22" s="3">
        <v>0.1</v>
      </c>
    </row>
    <row r="23" spans="1:6" x14ac:dyDescent="0.3">
      <c r="A23" t="s">
        <v>66</v>
      </c>
      <c r="B23" s="3">
        <v>0.2</v>
      </c>
      <c r="C23" s="3">
        <v>0.7</v>
      </c>
      <c r="D23" s="3">
        <v>0.8</v>
      </c>
    </row>
    <row r="24" spans="1:6" x14ac:dyDescent="0.3">
      <c r="A24" t="s">
        <v>8</v>
      </c>
      <c r="B24" s="6">
        <f>B$15*B21</f>
        <v>333.16938749999997</v>
      </c>
      <c r="C24" s="6">
        <f t="shared" ref="C24:D26" si="6">C$15*C21</f>
        <v>60.46875</v>
      </c>
      <c r="D24" s="6">
        <f t="shared" si="6"/>
        <v>86.773402525436055</v>
      </c>
      <c r="F24" s="2">
        <f>SUM(B24:D24)</f>
        <v>480.41154002543601</v>
      </c>
    </row>
    <row r="25" spans="1:6" x14ac:dyDescent="0.3">
      <c r="A25" t="s">
        <v>9</v>
      </c>
      <c r="B25" s="6">
        <f>B$15*B22</f>
        <v>999.5081624999998</v>
      </c>
      <c r="C25" s="6">
        <f t="shared" si="6"/>
        <v>120.9375</v>
      </c>
      <c r="D25" s="6">
        <f t="shared" si="6"/>
        <v>86.773402525436055</v>
      </c>
      <c r="F25" s="2">
        <f>SUM(B25:D25)</f>
        <v>1207.2190650254358</v>
      </c>
    </row>
    <row r="26" spans="1:6" x14ac:dyDescent="0.3">
      <c r="A26" t="s">
        <v>64</v>
      </c>
      <c r="B26" s="6">
        <f>B$15*B23</f>
        <v>333.16938749999997</v>
      </c>
      <c r="C26" s="6">
        <f t="shared" si="6"/>
        <v>423.28125</v>
      </c>
      <c r="D26" s="6">
        <f t="shared" si="6"/>
        <v>694.18722020348844</v>
      </c>
      <c r="F26" s="2">
        <f>SUM(B26:D26)</f>
        <v>1450.6378577034884</v>
      </c>
    </row>
    <row r="27" spans="1:6" x14ac:dyDescent="0.3">
      <c r="A27" t="s">
        <v>19</v>
      </c>
      <c r="B27" s="6">
        <f>SUM(B24:B26)</f>
        <v>1665.8469375</v>
      </c>
      <c r="C27" s="6">
        <f t="shared" ref="C27:D27" si="7">SUM(C24:C26)</f>
        <v>604.6875</v>
      </c>
      <c r="D27" s="6">
        <f t="shared" si="7"/>
        <v>867.73402525436052</v>
      </c>
      <c r="F27" s="2">
        <f>SUM(B27:D27)</f>
        <v>3138.2684627543604</v>
      </c>
    </row>
    <row r="28" spans="1:6" x14ac:dyDescent="0.3">
      <c r="A28" t="s">
        <v>76</v>
      </c>
      <c r="B28" s="6">
        <f t="shared" ref="B28:D30" si="8">B24/B$66</f>
        <v>27.764115624999999</v>
      </c>
      <c r="C28" s="6">
        <f t="shared" si="8"/>
        <v>5.0390625</v>
      </c>
      <c r="D28" s="6">
        <f t="shared" si="8"/>
        <v>7.2311168771196712</v>
      </c>
      <c r="F28" s="6">
        <f>F24/F$66</f>
        <v>40.03429500211967</v>
      </c>
    </row>
    <row r="29" spans="1:6" x14ac:dyDescent="0.3">
      <c r="A29" t="s">
        <v>77</v>
      </c>
      <c r="B29" s="6">
        <f t="shared" si="8"/>
        <v>83.292346874999978</v>
      </c>
      <c r="C29" s="6">
        <f t="shared" si="8"/>
        <v>10.078125</v>
      </c>
      <c r="D29" s="6">
        <f t="shared" si="8"/>
        <v>7.2311168771196712</v>
      </c>
      <c r="F29" s="6">
        <f>F25/F$66</f>
        <v>100.60158875211965</v>
      </c>
    </row>
    <row r="30" spans="1:6" x14ac:dyDescent="0.3">
      <c r="A30" t="s">
        <v>78</v>
      </c>
      <c r="B30" s="6">
        <f t="shared" si="8"/>
        <v>27.764115624999999</v>
      </c>
      <c r="C30" s="6">
        <f t="shared" si="8"/>
        <v>35.2734375</v>
      </c>
      <c r="D30" s="6">
        <f t="shared" si="8"/>
        <v>57.84893501695737</v>
      </c>
      <c r="F30" s="6">
        <f>F26/F$66</f>
        <v>120.88648814195737</v>
      </c>
    </row>
    <row r="31" spans="1:6" x14ac:dyDescent="0.3">
      <c r="A31" t="s">
        <v>79</v>
      </c>
      <c r="B31" s="6">
        <f>SUM(B28:B30)</f>
        <v>138.82057812499997</v>
      </c>
      <c r="C31" s="6">
        <f t="shared" ref="C31:D31" si="9">SUM(C28:C30)</f>
        <v>50.390625</v>
      </c>
      <c r="D31" s="6">
        <f t="shared" si="9"/>
        <v>72.311168771196719</v>
      </c>
      <c r="F31" s="2">
        <f>SUM(B31:D31)</f>
        <v>261.52237189619666</v>
      </c>
    </row>
    <row r="32" spans="1:6" x14ac:dyDescent="0.3">
      <c r="A32" t="s">
        <v>10</v>
      </c>
      <c r="B32" s="8">
        <v>4.2</v>
      </c>
      <c r="C32" s="8">
        <f>B32</f>
        <v>4.2</v>
      </c>
      <c r="D32" s="8">
        <f>B32</f>
        <v>4.2</v>
      </c>
    </row>
    <row r="33" spans="1:6" x14ac:dyDescent="0.3">
      <c r="A33" t="s">
        <v>11</v>
      </c>
      <c r="B33" s="8">
        <v>3.05</v>
      </c>
      <c r="C33" s="8">
        <f t="shared" ref="C33:C34" si="10">B33</f>
        <v>3.05</v>
      </c>
      <c r="D33" s="8">
        <f t="shared" ref="D33:D34" si="11">B33</f>
        <v>3.05</v>
      </c>
    </row>
    <row r="34" spans="1:6" x14ac:dyDescent="0.3">
      <c r="A34" t="s">
        <v>68</v>
      </c>
      <c r="B34" s="8">
        <v>2.0299999999999998</v>
      </c>
      <c r="C34" s="8">
        <f t="shared" si="10"/>
        <v>2.0299999999999998</v>
      </c>
      <c r="D34" s="8">
        <f t="shared" si="11"/>
        <v>2.0299999999999998</v>
      </c>
    </row>
    <row r="35" spans="1:6" x14ac:dyDescent="0.3">
      <c r="A35" t="s">
        <v>12</v>
      </c>
      <c r="B35" s="3">
        <v>0.3</v>
      </c>
      <c r="C35" s="3">
        <v>0.3</v>
      </c>
      <c r="D35" s="3">
        <v>0.3</v>
      </c>
    </row>
    <row r="36" spans="1:6" x14ac:dyDescent="0.3">
      <c r="A36" t="s">
        <v>13</v>
      </c>
      <c r="B36" s="9">
        <f>B32*(1-B35)</f>
        <v>2.94</v>
      </c>
      <c r="C36" s="9">
        <f>C32*(1-C35)</f>
        <v>2.94</v>
      </c>
      <c r="D36" s="9">
        <f>D32*(1-D35)</f>
        <v>2.94</v>
      </c>
    </row>
    <row r="37" spans="1:6" x14ac:dyDescent="0.3">
      <c r="A37" t="s">
        <v>14</v>
      </c>
      <c r="B37" s="9">
        <f>B33*(1-$B$35)</f>
        <v>2.1349999999999998</v>
      </c>
      <c r="C37" s="9">
        <f t="shared" ref="C37:D37" si="12">C33*(1-$B$35)</f>
        <v>2.1349999999999998</v>
      </c>
      <c r="D37" s="9">
        <f t="shared" si="12"/>
        <v>2.1349999999999998</v>
      </c>
    </row>
    <row r="38" spans="1:6" x14ac:dyDescent="0.3">
      <c r="A38" t="s">
        <v>69</v>
      </c>
      <c r="B38" s="9">
        <f t="shared" ref="B38:D38" si="13">B34*(1-$B$35)</f>
        <v>1.4209999999999998</v>
      </c>
      <c r="C38" s="9">
        <f t="shared" si="13"/>
        <v>1.4209999999999998</v>
      </c>
      <c r="D38" s="9">
        <f t="shared" si="13"/>
        <v>1.4209999999999998</v>
      </c>
    </row>
    <row r="39" spans="1:6" x14ac:dyDescent="0.3">
      <c r="A39" t="s">
        <v>15</v>
      </c>
      <c r="B39" s="10">
        <f t="shared" ref="B39:D41" si="14">B24*B36</f>
        <v>979.51799924999989</v>
      </c>
      <c r="C39" s="10">
        <f t="shared" si="14"/>
        <v>177.77812499999999</v>
      </c>
      <c r="D39" s="10">
        <f t="shared" si="14"/>
        <v>255.11380342478199</v>
      </c>
    </row>
    <row r="40" spans="1:6" x14ac:dyDescent="0.3">
      <c r="A40" t="s">
        <v>15</v>
      </c>
      <c r="B40" s="10">
        <f t="shared" si="14"/>
        <v>2133.9499269374992</v>
      </c>
      <c r="C40" s="10">
        <f t="shared" si="14"/>
        <v>258.20156249999997</v>
      </c>
      <c r="D40" s="10">
        <f t="shared" si="14"/>
        <v>185.26121439180596</v>
      </c>
    </row>
    <row r="41" spans="1:6" x14ac:dyDescent="0.3">
      <c r="A41" t="s">
        <v>70</v>
      </c>
      <c r="B41" s="10">
        <f t="shared" si="14"/>
        <v>473.4336996374999</v>
      </c>
      <c r="C41" s="10">
        <f t="shared" si="14"/>
        <v>601.48265624999988</v>
      </c>
      <c r="D41" s="10">
        <f t="shared" si="14"/>
        <v>986.44003990915689</v>
      </c>
    </row>
    <row r="42" spans="1:6" x14ac:dyDescent="0.3">
      <c r="A42" t="s">
        <v>16</v>
      </c>
      <c r="B42" s="15">
        <f>SUM(B39:B41)</f>
        <v>3586.901625824999</v>
      </c>
      <c r="C42" s="15">
        <f t="shared" ref="C42:D42" si="15">SUM(C39:C41)</f>
        <v>1037.4623437499999</v>
      </c>
      <c r="D42" s="15">
        <f t="shared" si="15"/>
        <v>1426.8150577257447</v>
      </c>
      <c r="E42" s="4"/>
      <c r="F42" s="15">
        <f>SUM(B42:D42)</f>
        <v>6051.1790273007437</v>
      </c>
    </row>
    <row r="43" spans="1:6" x14ac:dyDescent="0.3">
      <c r="A43" t="s">
        <v>124</v>
      </c>
      <c r="B43" s="5">
        <f>B14*1000000/B68</f>
        <v>3.394146164425428</v>
      </c>
      <c r="C43" s="5">
        <f>C14*1000000/C68</f>
        <v>1.2320446210268949</v>
      </c>
      <c r="D43" s="5">
        <f>D14*1000000/D68</f>
        <v>1.7679992364595769</v>
      </c>
      <c r="E43" s="5" t="s">
        <v>50</v>
      </c>
      <c r="F43" s="5">
        <f>F14*1000000/F68</f>
        <v>6.394190021911899</v>
      </c>
    </row>
    <row r="44" spans="1:6" x14ac:dyDescent="0.3">
      <c r="A44" t="s">
        <v>125</v>
      </c>
      <c r="B44" s="5">
        <f>B15*1000000/B68</f>
        <v>5.0912192466381407</v>
      </c>
      <c r="C44" s="5">
        <f t="shared" ref="C44:F44" si="16">C15*1000000/C68</f>
        <v>1.8480669315403424</v>
      </c>
      <c r="D44" s="5">
        <f t="shared" si="16"/>
        <v>2.6519988546893658</v>
      </c>
      <c r="E44" s="5" t="s">
        <v>50</v>
      </c>
      <c r="F44" s="5">
        <f t="shared" si="16"/>
        <v>9.5912850328678481</v>
      </c>
    </row>
    <row r="46" spans="1:6" x14ac:dyDescent="0.3">
      <c r="A46" s="4" t="s">
        <v>18</v>
      </c>
    </row>
    <row r="47" spans="1:6" x14ac:dyDescent="0.3">
      <c r="A47" t="s">
        <v>20</v>
      </c>
      <c r="B47">
        <v>4</v>
      </c>
      <c r="C47">
        <f>B47</f>
        <v>4</v>
      </c>
      <c r="D47">
        <f>B47</f>
        <v>4</v>
      </c>
    </row>
    <row r="48" spans="1:6" x14ac:dyDescent="0.3">
      <c r="A48" t="s">
        <v>21</v>
      </c>
      <c r="B48" s="6">
        <f>(B47*B14)+(B63*B60)</f>
        <v>5939.7390416223843</v>
      </c>
      <c r="C48" s="6">
        <f>C47*C14</f>
        <v>1612.5</v>
      </c>
      <c r="D48" s="6">
        <f>D47*D14</f>
        <v>2313.9574006782941</v>
      </c>
      <c r="F48" s="5">
        <f>SUM(B48:D48)</f>
        <v>9866.1964423006793</v>
      </c>
    </row>
    <row r="49" spans="1:7" x14ac:dyDescent="0.3">
      <c r="A49" t="s">
        <v>75</v>
      </c>
      <c r="B49" s="6">
        <f>B48/B66</f>
        <v>494.97825346853205</v>
      </c>
      <c r="C49" s="6">
        <f t="shared" ref="C49:D49" si="17">C48/C66</f>
        <v>134.375</v>
      </c>
      <c r="D49" s="6">
        <f t="shared" si="17"/>
        <v>192.82978338985785</v>
      </c>
      <c r="F49" s="5">
        <f>SUM(B49:D49)</f>
        <v>822.18303685838998</v>
      </c>
    </row>
    <row r="50" spans="1:7" x14ac:dyDescent="0.3">
      <c r="A50" t="s">
        <v>22</v>
      </c>
      <c r="B50" s="7">
        <v>110</v>
      </c>
      <c r="C50" s="7">
        <f>B50</f>
        <v>110</v>
      </c>
      <c r="D50" s="7">
        <f>B50</f>
        <v>110</v>
      </c>
    </row>
    <row r="51" spans="1:7" x14ac:dyDescent="0.3">
      <c r="A51" t="s">
        <v>23</v>
      </c>
      <c r="B51" s="8">
        <f>B48*B50/1000</f>
        <v>653.37129457846231</v>
      </c>
      <c r="C51" s="8">
        <f>C48*C50/1000</f>
        <v>177.375</v>
      </c>
      <c r="D51" s="8">
        <f>D48*D50/1000</f>
        <v>254.53531407461233</v>
      </c>
      <c r="F51" s="10">
        <f>SUM(B51:D51)</f>
        <v>1085.2816086530747</v>
      </c>
    </row>
    <row r="52" spans="1:7" x14ac:dyDescent="0.3">
      <c r="A52" t="s">
        <v>24</v>
      </c>
      <c r="B52">
        <v>20</v>
      </c>
      <c r="C52">
        <f>B52</f>
        <v>20</v>
      </c>
      <c r="D52">
        <f>B52</f>
        <v>20</v>
      </c>
      <c r="F52">
        <f>B52</f>
        <v>20</v>
      </c>
    </row>
    <row r="53" spans="1:7" x14ac:dyDescent="0.3">
      <c r="A53" t="s">
        <v>74</v>
      </c>
      <c r="B53" s="16">
        <f>B51/B65</f>
        <v>0.12243350584611815</v>
      </c>
      <c r="C53" s="16">
        <f t="shared" ref="C53:D53" si="18">C51/C65</f>
        <v>0.10998141787467862</v>
      </c>
      <c r="D53" s="16">
        <f t="shared" si="18"/>
        <v>0.11300666006213833</v>
      </c>
      <c r="F53" s="16">
        <f>F51/F65</f>
        <v>0.11794354014326944</v>
      </c>
    </row>
    <row r="54" spans="1:7" x14ac:dyDescent="0.3">
      <c r="A54" t="s">
        <v>94</v>
      </c>
      <c r="B54" s="18">
        <f>(B51/(B8*B52))*1000</f>
        <v>1.2256740097754E-2</v>
      </c>
      <c r="C54" s="18">
        <f>(C51/(C8*C52))*1000</f>
        <v>9.1666666666666667E-3</v>
      </c>
      <c r="D54" s="18">
        <f>(D51/(D8*D52))*1000</f>
        <v>9.166666666666665E-3</v>
      </c>
      <c r="E54" s="18" t="s">
        <v>50</v>
      </c>
      <c r="F54" s="18">
        <f>(F51/(F8*F52))*1000</f>
        <v>1.0806930851493313E-2</v>
      </c>
    </row>
    <row r="56" spans="1:7" x14ac:dyDescent="0.3">
      <c r="A56" s="4" t="s">
        <v>25</v>
      </c>
    </row>
    <row r="57" spans="1:7" x14ac:dyDescent="0.3">
      <c r="A57" s="12" t="s">
        <v>163</v>
      </c>
      <c r="B57" s="35">
        <v>82.2</v>
      </c>
      <c r="C57" s="35">
        <v>82.2</v>
      </c>
      <c r="D57" s="35">
        <v>82.2</v>
      </c>
      <c r="E57" s="37"/>
      <c r="F57" s="5"/>
    </row>
    <row r="58" spans="1:7" x14ac:dyDescent="0.3">
      <c r="A58" s="12" t="s">
        <v>27</v>
      </c>
      <c r="B58">
        <v>226500</v>
      </c>
      <c r="C58">
        <v>226500</v>
      </c>
      <c r="D58">
        <v>226500</v>
      </c>
    </row>
    <row r="59" spans="1:7" x14ac:dyDescent="0.3">
      <c r="A59" s="12" t="s">
        <v>26</v>
      </c>
      <c r="B59" s="11">
        <f>B58/B57</f>
        <v>2755.4744525547444</v>
      </c>
      <c r="C59" s="11">
        <f>C58/C57</f>
        <v>2755.4744525547444</v>
      </c>
      <c r="D59" s="11">
        <f>D58/D57</f>
        <v>2755.4744525547444</v>
      </c>
      <c r="E59" s="11"/>
      <c r="F59" s="11">
        <f t="shared" ref="F59" si="19">226500000000000/82183000000</f>
        <v>2756.0444374140639</v>
      </c>
      <c r="G59" s="14">
        <f>F59/F13</f>
        <v>1.7225277733837898</v>
      </c>
    </row>
    <row r="60" spans="1:7" x14ac:dyDescent="0.3">
      <c r="A60" s="12" t="s">
        <v>29</v>
      </c>
      <c r="B60" s="6">
        <f>B10/B59</f>
        <v>644.86295576158943</v>
      </c>
      <c r="C60" s="6">
        <f t="shared" ref="C60:D60" si="20">C10/C59</f>
        <v>234.07947019867549</v>
      </c>
      <c r="D60" s="6">
        <f t="shared" si="20"/>
        <v>335.90692862826631</v>
      </c>
      <c r="E60" s="6" t="s">
        <v>50</v>
      </c>
      <c r="F60" s="5">
        <f>SUM(B60:D60)</f>
        <v>1214.8493545885312</v>
      </c>
    </row>
    <row r="61" spans="1:7" x14ac:dyDescent="0.3">
      <c r="A61" s="12" t="s">
        <v>30</v>
      </c>
      <c r="B61" s="8">
        <v>1.7</v>
      </c>
      <c r="C61" s="8">
        <v>1.7</v>
      </c>
      <c r="D61" s="8">
        <v>1.7</v>
      </c>
    </row>
    <row r="62" spans="1:7" x14ac:dyDescent="0.3">
      <c r="A62" s="12" t="s">
        <v>31</v>
      </c>
      <c r="B62" s="8">
        <f>B60*B61</f>
        <v>1096.2670247947019</v>
      </c>
      <c r="C62" s="8">
        <f>C60*C61</f>
        <v>397.93509933774834</v>
      </c>
      <c r="D62" s="8">
        <f>D60*D61</f>
        <v>571.04177866805276</v>
      </c>
      <c r="F62" s="10">
        <f>SUM(B62:D62)</f>
        <v>2065.2439028005028</v>
      </c>
    </row>
    <row r="63" spans="1:7" x14ac:dyDescent="0.3">
      <c r="A63" s="12" t="s">
        <v>164</v>
      </c>
      <c r="B63" s="14">
        <f>B47/G59</f>
        <v>2.3221686534216337</v>
      </c>
      <c r="C63" s="14">
        <f>B63</f>
        <v>2.3221686534216337</v>
      </c>
      <c r="D63" s="14">
        <f>B63</f>
        <v>2.3221686534216337</v>
      </c>
    </row>
    <row r="64" spans="1:7" x14ac:dyDescent="0.3">
      <c r="A64" s="12"/>
    </row>
    <row r="65" spans="1:7" x14ac:dyDescent="0.3">
      <c r="A65" s="4" t="s">
        <v>32</v>
      </c>
      <c r="B65" s="13">
        <f>B42+B51+B62</f>
        <v>5336.539945198163</v>
      </c>
      <c r="C65" s="13">
        <f>C42+C51+C62</f>
        <v>1612.7724430877483</v>
      </c>
      <c r="D65" s="13">
        <f>D42+D51+D62</f>
        <v>2252.3921504684099</v>
      </c>
      <c r="F65" s="15">
        <f>SUM(B65:D65)</f>
        <v>9201.7045387543203</v>
      </c>
      <c r="G65" s="9">
        <f>F65/1000</f>
        <v>9.2017045387543206</v>
      </c>
    </row>
    <row r="66" spans="1:7" x14ac:dyDescent="0.3">
      <c r="A66" t="s">
        <v>33</v>
      </c>
      <c r="B66">
        <v>12</v>
      </c>
      <c r="C66">
        <f>B66</f>
        <v>12</v>
      </c>
      <c r="D66">
        <f>B66</f>
        <v>12</v>
      </c>
      <c r="F66">
        <f>B66</f>
        <v>12</v>
      </c>
    </row>
    <row r="67" spans="1:7" x14ac:dyDescent="0.3">
      <c r="A67" t="s">
        <v>116</v>
      </c>
      <c r="B67" s="9">
        <f>B65/B66</f>
        <v>444.71166209984693</v>
      </c>
      <c r="C67" s="9">
        <f>C65/C66</f>
        <v>134.3977035906457</v>
      </c>
      <c r="D67" s="9">
        <f>D65/D66</f>
        <v>187.6993458723675</v>
      </c>
      <c r="F67" s="15">
        <f>SUM(B67:D67)</f>
        <v>766.80871156286014</v>
      </c>
    </row>
    <row r="68" spans="1:7" x14ac:dyDescent="0.3">
      <c r="A68" t="s">
        <v>35</v>
      </c>
      <c r="B68" s="2">
        <v>327200000</v>
      </c>
      <c r="C68" s="2">
        <v>327200000</v>
      </c>
      <c r="D68" s="2">
        <v>327200000</v>
      </c>
      <c r="F68" s="2">
        <v>327200000</v>
      </c>
    </row>
    <row r="69" spans="1:7" x14ac:dyDescent="0.3">
      <c r="A69" t="s">
        <v>34</v>
      </c>
      <c r="B69" s="9">
        <f>B67*1000000000/B68</f>
        <v>1359.1432215765492</v>
      </c>
      <c r="C69" s="9">
        <f>C67*1000000000/C68</f>
        <v>410.7509278442717</v>
      </c>
      <c r="D69" s="9">
        <f>D67*1000000000/D68</f>
        <v>573.65325755613537</v>
      </c>
      <c r="F69" s="34">
        <f>SUM(B69:D69)</f>
        <v>2343.5474069769562</v>
      </c>
    </row>
    <row r="70" spans="1:7" x14ac:dyDescent="0.3">
      <c r="A70" t="s">
        <v>36</v>
      </c>
      <c r="B70" s="9">
        <f>B69/365</f>
        <v>3.7236800591138333</v>
      </c>
      <c r="C70" s="9">
        <f>C69/365</f>
        <v>1.1253450077925251</v>
      </c>
      <c r="D70" s="9">
        <f>D69/365</f>
        <v>1.5716527604277681</v>
      </c>
      <c r="F70" s="13">
        <f>SUM(B70:D70)</f>
        <v>6.420677827334127</v>
      </c>
    </row>
    <row r="71" spans="1:7" x14ac:dyDescent="0.3">
      <c r="A71" t="s">
        <v>85</v>
      </c>
      <c r="B71" s="2">
        <f>B8-B6</f>
        <v>888451.69999999972</v>
      </c>
      <c r="C71" s="2">
        <f>C8-C6</f>
        <v>322500</v>
      </c>
      <c r="D71" s="2">
        <f>D8-D6</f>
        <v>462791.48013565899</v>
      </c>
      <c r="E71" s="2" t="s">
        <v>50</v>
      </c>
      <c r="F71" s="2">
        <f>F8-F6</f>
        <v>1673743.180135658</v>
      </c>
    </row>
    <row r="72" spans="1:7" x14ac:dyDescent="0.3">
      <c r="A72" t="s">
        <v>86</v>
      </c>
      <c r="B72" s="8">
        <v>0.1</v>
      </c>
      <c r="C72" s="8">
        <v>0.1</v>
      </c>
      <c r="D72" s="8">
        <v>0.1</v>
      </c>
      <c r="F72" s="8">
        <v>0.1</v>
      </c>
    </row>
    <row r="73" spans="1:7" x14ac:dyDescent="0.3">
      <c r="A73" t="s">
        <v>87</v>
      </c>
      <c r="B73" s="8">
        <f>B71*B72/1000</f>
        <v>88.845169999999982</v>
      </c>
      <c r="C73" s="8">
        <f t="shared" ref="C73:F73" si="21">C71*C72/1000</f>
        <v>32.25</v>
      </c>
      <c r="D73" s="8">
        <f t="shared" si="21"/>
        <v>46.279148013565901</v>
      </c>
      <c r="E73" s="8" t="s">
        <v>50</v>
      </c>
      <c r="F73" s="8">
        <f t="shared" si="21"/>
        <v>167.37431801356581</v>
      </c>
    </row>
    <row r="74" spans="1:7" x14ac:dyDescent="0.3">
      <c r="A74" t="s">
        <v>92</v>
      </c>
      <c r="B74" s="8">
        <v>0.23</v>
      </c>
      <c r="C74" s="8">
        <v>0.23</v>
      </c>
      <c r="D74" s="8">
        <v>0.23</v>
      </c>
      <c r="E74" s="8" t="s">
        <v>50</v>
      </c>
      <c r="F74" s="8">
        <v>0.23</v>
      </c>
    </row>
    <row r="75" spans="1:7" x14ac:dyDescent="0.3">
      <c r="A75" t="s">
        <v>91</v>
      </c>
      <c r="B75" s="8">
        <f>B8*B74/1000</f>
        <v>613.03167299999996</v>
      </c>
      <c r="C75" s="8">
        <f>C8*C74/1000</f>
        <v>222.52500000000001</v>
      </c>
      <c r="D75" s="8">
        <f>D8*D74/1000</f>
        <v>319.32612129360467</v>
      </c>
      <c r="E75" s="8" t="s">
        <v>50</v>
      </c>
      <c r="F75" s="8">
        <f>F8*F74/1000</f>
        <v>1154.8827942936045</v>
      </c>
    </row>
    <row r="76" spans="1:7" x14ac:dyDescent="0.3">
      <c r="A76" t="s">
        <v>93</v>
      </c>
      <c r="B76" s="17">
        <f>(B67/B8)*1000</f>
        <v>0.16684893585092922</v>
      </c>
      <c r="C76" s="17">
        <f>(C67/C8)*1000</f>
        <v>0.13891235513245034</v>
      </c>
      <c r="D76" s="17">
        <f>(D67/D8)*1000</f>
        <v>0.13519360513245035</v>
      </c>
      <c r="E76" s="17" t="s">
        <v>50</v>
      </c>
      <c r="F76" s="17">
        <f>(F67/F8)*1000</f>
        <v>0.1527133355271206</v>
      </c>
    </row>
    <row r="77" spans="1:7" x14ac:dyDescent="0.3">
      <c r="A77" t="s">
        <v>95</v>
      </c>
      <c r="B77" s="8">
        <f>(B75*1000000000/B68)/365</f>
        <v>5.133064884281743</v>
      </c>
      <c r="C77" s="8">
        <f t="shared" ref="C77:F77" si="22">(C75*1000000000/C68)/365</f>
        <v>1.8632565227584819</v>
      </c>
      <c r="D77" s="8">
        <f t="shared" si="22"/>
        <v>2.6737961055498265</v>
      </c>
      <c r="E77" s="8" t="s">
        <v>50</v>
      </c>
      <c r="F77" s="24">
        <f t="shared" si="22"/>
        <v>9.6701175125900498</v>
      </c>
    </row>
    <row r="78" spans="1:7" x14ac:dyDescent="0.3">
      <c r="A78" t="s">
        <v>96</v>
      </c>
      <c r="B78" s="8"/>
      <c r="C78" s="8"/>
      <c r="D78" s="8"/>
      <c r="E78" s="8" t="s">
        <v>50</v>
      </c>
      <c r="F78" s="24">
        <f>EV!$B$19+'Totals USA'!F77</f>
        <v>13.985587684480848</v>
      </c>
    </row>
    <row r="79" spans="1:7" x14ac:dyDescent="0.3">
      <c r="A79" t="s">
        <v>97</v>
      </c>
      <c r="B79" s="8"/>
      <c r="C79" s="8"/>
      <c r="D79" s="8"/>
      <c r="F79" s="28">
        <f>F78*365</f>
        <v>5104.7395048355093</v>
      </c>
    </row>
    <row r="80" spans="1:7" x14ac:dyDescent="0.3">
      <c r="A80" t="s">
        <v>117</v>
      </c>
      <c r="F80" s="28">
        <f>F79*4</f>
        <v>20418.958019342037</v>
      </c>
    </row>
    <row r="81" spans="1:7" x14ac:dyDescent="0.3">
      <c r="A81" t="s">
        <v>174</v>
      </c>
      <c r="B81" s="2"/>
      <c r="C81" s="2"/>
      <c r="D81" s="2"/>
      <c r="E81" s="2"/>
      <c r="F81" s="2">
        <f>((F8+F10)*1000000/F68)</f>
        <v>25576.760087647599</v>
      </c>
      <c r="G81" t="s">
        <v>107</v>
      </c>
    </row>
    <row r="82" spans="1:7" x14ac:dyDescent="0.3">
      <c r="A82" t="s">
        <v>176</v>
      </c>
      <c r="B82" s="5"/>
      <c r="C82" s="5"/>
      <c r="D82" s="5"/>
      <c r="E82" s="5"/>
      <c r="F82" s="5">
        <f>F20/(1/640)</f>
        <v>0.55845448091209271</v>
      </c>
    </row>
    <row r="83" spans="1:7" x14ac:dyDescent="0.3">
      <c r="B83" s="13"/>
      <c r="C83" s="13"/>
      <c r="D83" s="13"/>
      <c r="E83" s="13"/>
      <c r="F83" s="13"/>
    </row>
    <row r="84" spans="1:7" x14ac:dyDescent="0.3">
      <c r="F84" s="35"/>
    </row>
    <row r="85" spans="1:7" x14ac:dyDescent="0.3">
      <c r="F85" s="11"/>
    </row>
    <row r="86" spans="1:7" x14ac:dyDescent="0.3">
      <c r="F86" s="2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defaultRowHeight="14.4" x14ac:dyDescent="0.3"/>
  <cols>
    <col min="1" max="1" width="17.44140625" customWidth="1"/>
    <col min="2" max="2" width="15.88671875" bestFit="1" customWidth="1"/>
  </cols>
  <sheetData>
    <row r="1" spans="1:3" x14ac:dyDescent="0.3">
      <c r="A1" s="4" t="s">
        <v>144</v>
      </c>
    </row>
    <row r="2" spans="1:3" ht="28.8" x14ac:dyDescent="0.3">
      <c r="A2" s="36" t="s">
        <v>145</v>
      </c>
      <c r="B2" s="2">
        <v>2700000000000</v>
      </c>
      <c r="C2" t="s">
        <v>146</v>
      </c>
    </row>
    <row r="3" spans="1:3" x14ac:dyDescent="0.3">
      <c r="A3" t="s">
        <v>147</v>
      </c>
      <c r="B3" s="2">
        <v>955266666666.66675</v>
      </c>
      <c r="C3" t="s">
        <v>146</v>
      </c>
    </row>
    <row r="4" spans="1:3" x14ac:dyDescent="0.3">
      <c r="A4" t="s">
        <v>151</v>
      </c>
      <c r="B4" s="2">
        <f>NG!B15*'NG USA'!B17*1000000000</f>
        <v>1063086396540.3778</v>
      </c>
      <c r="C4" t="s">
        <v>146</v>
      </c>
    </row>
    <row r="5" spans="1:3" x14ac:dyDescent="0.3">
      <c r="A5" t="s">
        <v>19</v>
      </c>
      <c r="B5" s="2">
        <f>SUM(B2:B4)</f>
        <v>4718353063207.0449</v>
      </c>
      <c r="C5" t="s">
        <v>146</v>
      </c>
    </row>
    <row r="6" spans="1:3" x14ac:dyDescent="0.3">
      <c r="A6" t="s">
        <v>153</v>
      </c>
      <c r="B6" s="2">
        <f>B5/1000</f>
        <v>4718353063.2070446</v>
      </c>
      <c r="C6" t="s">
        <v>154</v>
      </c>
    </row>
    <row r="7" spans="1:3" x14ac:dyDescent="0.3">
      <c r="A7" t="s">
        <v>155</v>
      </c>
      <c r="B7" s="2">
        <f>B6/1000000</f>
        <v>4718.3530632070442</v>
      </c>
    </row>
    <row r="8" spans="1:3" ht="28.8" x14ac:dyDescent="0.3">
      <c r="A8" s="36" t="s">
        <v>156</v>
      </c>
      <c r="B8" s="2">
        <f>B7*'Totals California'!F82</f>
        <v>39333.633688696682</v>
      </c>
    </row>
    <row r="9" spans="1:3" x14ac:dyDescent="0.3">
      <c r="A9" t="s">
        <v>157</v>
      </c>
      <c r="B9" s="2">
        <v>6870</v>
      </c>
      <c r="C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23" sqref="A23:B23"/>
    </sheetView>
  </sheetViews>
  <sheetFormatPr defaultRowHeight="14.4" x14ac:dyDescent="0.3"/>
  <cols>
    <col min="1" max="1" width="27.109375" bestFit="1" customWidth="1"/>
    <col min="2" max="2" width="10.88671875" bestFit="1" customWidth="1"/>
  </cols>
  <sheetData>
    <row r="1" spans="1:2" x14ac:dyDescent="0.3">
      <c r="A1" s="4" t="s">
        <v>37</v>
      </c>
    </row>
    <row r="2" spans="1:2" x14ac:dyDescent="0.3">
      <c r="A2" t="s">
        <v>42</v>
      </c>
      <c r="B2">
        <v>3220</v>
      </c>
    </row>
    <row r="3" spans="1:2" x14ac:dyDescent="0.3">
      <c r="A3" t="s">
        <v>38</v>
      </c>
      <c r="B3">
        <v>31.7</v>
      </c>
    </row>
    <row r="4" spans="1:2" x14ac:dyDescent="0.3">
      <c r="A4" t="s">
        <v>39</v>
      </c>
      <c r="B4">
        <f>500/365</f>
        <v>1.3698630136986301</v>
      </c>
    </row>
    <row r="5" spans="1:2" x14ac:dyDescent="0.3">
      <c r="A5" t="s">
        <v>40</v>
      </c>
      <c r="B5">
        <v>25.2</v>
      </c>
    </row>
    <row r="6" spans="1:2" x14ac:dyDescent="0.3">
      <c r="A6" t="s">
        <v>41</v>
      </c>
      <c r="B6">
        <v>263.60000000000002</v>
      </c>
    </row>
    <row r="7" spans="1:2" x14ac:dyDescent="0.3">
      <c r="A7" t="s">
        <v>43</v>
      </c>
      <c r="B7" s="2">
        <f>(B2/B6)*1000</f>
        <v>12215.477996965097</v>
      </c>
    </row>
    <row r="8" spans="1:2" x14ac:dyDescent="0.3">
      <c r="A8" t="s">
        <v>44</v>
      </c>
      <c r="B8" s="2">
        <f>(B9/365)*1000000000</f>
        <v>471232876.71232879</v>
      </c>
    </row>
    <row r="9" spans="1:2" x14ac:dyDescent="0.3">
      <c r="A9" t="s">
        <v>45</v>
      </c>
      <c r="B9" s="14">
        <f>172</f>
        <v>172</v>
      </c>
    </row>
    <row r="10" spans="1:2" x14ac:dyDescent="0.3">
      <c r="A10" t="s">
        <v>46</v>
      </c>
      <c r="B10" s="14">
        <f>B2/B9</f>
        <v>18.720930232558139</v>
      </c>
    </row>
    <row r="11" spans="1:2" x14ac:dyDescent="0.3">
      <c r="A11" t="s">
        <v>143</v>
      </c>
      <c r="B11">
        <f>B2/365</f>
        <v>8.8219178082191778</v>
      </c>
    </row>
    <row r="12" spans="1:2" x14ac:dyDescent="0.3">
      <c r="A12" t="s">
        <v>47</v>
      </c>
      <c r="B12">
        <v>0.25</v>
      </c>
    </row>
    <row r="13" spans="1:2" x14ac:dyDescent="0.3">
      <c r="A13" t="s">
        <v>48</v>
      </c>
      <c r="B13" s="2">
        <f>B2*B12*1000</f>
        <v>805000</v>
      </c>
    </row>
    <row r="14" spans="1:2" x14ac:dyDescent="0.3">
      <c r="A14" t="s">
        <v>80</v>
      </c>
      <c r="B14">
        <v>300</v>
      </c>
    </row>
    <row r="15" spans="1:2" x14ac:dyDescent="0.3">
      <c r="A15" t="s">
        <v>81</v>
      </c>
      <c r="B15">
        <f>B12*B14</f>
        <v>75</v>
      </c>
    </row>
    <row r="16" spans="1:2" x14ac:dyDescent="0.3">
      <c r="A16" t="s">
        <v>82</v>
      </c>
      <c r="B16" s="11">
        <f>B6*B15</f>
        <v>19770</v>
      </c>
    </row>
    <row r="17" spans="1:2" x14ac:dyDescent="0.3">
      <c r="A17" t="s">
        <v>83</v>
      </c>
      <c r="B17" s="6">
        <f>B16/'Totals California'!F48</f>
        <v>24.616649656504308</v>
      </c>
    </row>
    <row r="18" spans="1:2" x14ac:dyDescent="0.3">
      <c r="A18" t="s">
        <v>89</v>
      </c>
      <c r="B18" s="9">
        <v>4</v>
      </c>
    </row>
    <row r="19" spans="1:2" x14ac:dyDescent="0.3">
      <c r="A19" t="s">
        <v>88</v>
      </c>
      <c r="B19" s="9">
        <f>B8/'Totals California'!B68*'EV USA'!B18</f>
        <v>47.647409172126267</v>
      </c>
    </row>
    <row r="20" spans="1:2" x14ac:dyDescent="0.3">
      <c r="A20" t="s">
        <v>138</v>
      </c>
      <c r="B20" s="5">
        <f>B19/'Totals California'!F70</f>
        <v>12.697320675054806</v>
      </c>
    </row>
    <row r="21" spans="1:2" x14ac:dyDescent="0.3">
      <c r="A21" t="s">
        <v>166</v>
      </c>
      <c r="B21" s="5">
        <f>B12/(1/30)</f>
        <v>7.5</v>
      </c>
    </row>
    <row r="22" spans="1:2" x14ac:dyDescent="0.3">
      <c r="A22" t="s">
        <v>165</v>
      </c>
      <c r="B22" s="2">
        <f>B9*B21*1000</f>
        <v>1290000</v>
      </c>
    </row>
    <row r="23" spans="1:2" x14ac:dyDescent="0.3">
      <c r="A23" t="s">
        <v>167</v>
      </c>
      <c r="B23" s="16">
        <f>B13/B22</f>
        <v>0.62403100775193798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7" sqref="B17"/>
    </sheetView>
  </sheetViews>
  <sheetFormatPr defaultRowHeight="14.4" x14ac:dyDescent="0.3"/>
  <cols>
    <col min="1" max="1" width="22" bestFit="1" customWidth="1"/>
    <col min="3" max="3" width="12" bestFit="1" customWidth="1"/>
  </cols>
  <sheetData>
    <row r="1" spans="1:4" x14ac:dyDescent="0.3">
      <c r="A1" s="4" t="s">
        <v>51</v>
      </c>
      <c r="B1">
        <v>2018</v>
      </c>
    </row>
    <row r="2" spans="1:4" x14ac:dyDescent="0.3">
      <c r="B2" s="3"/>
    </row>
    <row r="3" spans="1:4" x14ac:dyDescent="0.3">
      <c r="A3" t="s">
        <v>53</v>
      </c>
      <c r="B3">
        <v>4970</v>
      </c>
    </row>
    <row r="4" spans="1:4" x14ac:dyDescent="0.3">
      <c r="A4" t="s">
        <v>54</v>
      </c>
      <c r="B4">
        <v>3480</v>
      </c>
    </row>
    <row r="5" spans="1:4" x14ac:dyDescent="0.3">
      <c r="A5" t="s">
        <v>55</v>
      </c>
      <c r="B5">
        <v>10040</v>
      </c>
    </row>
    <row r="6" spans="1:4" x14ac:dyDescent="0.3">
      <c r="A6" t="s">
        <v>56</v>
      </c>
      <c r="B6">
        <v>840</v>
      </c>
    </row>
    <row r="7" spans="1:4" x14ac:dyDescent="0.3">
      <c r="A7" t="s">
        <v>57</v>
      </c>
      <c r="B7">
        <v>10630</v>
      </c>
    </row>
    <row r="8" spans="1:4" x14ac:dyDescent="0.3">
      <c r="A8" t="s">
        <v>19</v>
      </c>
      <c r="B8">
        <f>SUM(B3:B7)</f>
        <v>29960</v>
      </c>
    </row>
    <row r="9" spans="1:4" x14ac:dyDescent="0.3">
      <c r="A9" t="s">
        <v>158</v>
      </c>
      <c r="B9" s="2">
        <f>B7*B10</f>
        <v>1017997.6065891472</v>
      </c>
    </row>
    <row r="10" spans="1:4" x14ac:dyDescent="0.3">
      <c r="A10" t="s">
        <v>61</v>
      </c>
      <c r="B10">
        <f>NG!B10</f>
        <v>95.766472868217051</v>
      </c>
    </row>
    <row r="11" spans="1:4" x14ac:dyDescent="0.3">
      <c r="A11" t="s">
        <v>159</v>
      </c>
      <c r="B11" s="2">
        <f>SUM(B3:B6)</f>
        <v>19330</v>
      </c>
    </row>
    <row r="12" spans="1:4" x14ac:dyDescent="0.3">
      <c r="A12" t="s">
        <v>60</v>
      </c>
      <c r="B12" s="2">
        <f>B11*B10</f>
        <v>1851165.9205426355</v>
      </c>
      <c r="C12" s="2"/>
      <c r="D12" s="2"/>
    </row>
    <row r="13" spans="1:4" x14ac:dyDescent="0.3">
      <c r="A13" t="s">
        <v>148</v>
      </c>
      <c r="B13">
        <v>117</v>
      </c>
    </row>
    <row r="14" spans="1:4" x14ac:dyDescent="0.3">
      <c r="A14" t="s">
        <v>149</v>
      </c>
      <c r="B14">
        <f>B13/2.2</f>
        <v>53.18181818181818</v>
      </c>
    </row>
    <row r="15" spans="1:4" x14ac:dyDescent="0.3">
      <c r="A15" t="s">
        <v>152</v>
      </c>
      <c r="B15">
        <v>11.7</v>
      </c>
    </row>
    <row r="16" spans="1:4" x14ac:dyDescent="0.3">
      <c r="A16" t="s">
        <v>150</v>
      </c>
      <c r="B16" s="2">
        <f>B15/2.2</f>
        <v>5.3181818181818175</v>
      </c>
    </row>
    <row r="17" spans="1:2" x14ac:dyDescent="0.3">
      <c r="A17" t="s">
        <v>162</v>
      </c>
      <c r="B17" s="2">
        <f>B11/96.7</f>
        <v>199.8965873836608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" workbookViewId="0">
      <selection activeCell="F89" sqref="F89"/>
    </sheetView>
  </sheetViews>
  <sheetFormatPr defaultRowHeight="14.4" x14ac:dyDescent="0.3"/>
  <cols>
    <col min="1" max="1" width="37.5546875" bestFit="1" customWidth="1"/>
    <col min="2" max="2" width="18.109375" bestFit="1" customWidth="1"/>
    <col min="3" max="3" width="10.6640625" customWidth="1"/>
    <col min="4" max="4" width="12.33203125" bestFit="1" customWidth="1"/>
    <col min="5" max="5" width="10" customWidth="1"/>
    <col min="6" max="6" width="12.21875" customWidth="1"/>
  </cols>
  <sheetData>
    <row r="1" spans="1:7" ht="18" x14ac:dyDescent="0.35">
      <c r="A1" s="1" t="s">
        <v>0</v>
      </c>
      <c r="B1" s="4" t="s">
        <v>49</v>
      </c>
      <c r="C1" s="4" t="s">
        <v>37</v>
      </c>
      <c r="D1" s="4" t="s">
        <v>62</v>
      </c>
      <c r="F1" s="4" t="s">
        <v>63</v>
      </c>
    </row>
    <row r="2" spans="1:7" x14ac:dyDescent="0.3">
      <c r="A2" t="s">
        <v>90</v>
      </c>
      <c r="B2" s="2">
        <v>226043</v>
      </c>
      <c r="C2" s="2" t="s">
        <v>50</v>
      </c>
      <c r="G2" t="s">
        <v>50</v>
      </c>
    </row>
    <row r="3" spans="1:7" x14ac:dyDescent="0.3">
      <c r="A3" t="s">
        <v>1</v>
      </c>
      <c r="B3" s="2">
        <v>89502</v>
      </c>
      <c r="C3" s="2" t="s">
        <v>50</v>
      </c>
    </row>
    <row r="4" spans="1:7" x14ac:dyDescent="0.3">
      <c r="A4" t="s">
        <v>2</v>
      </c>
      <c r="B4" s="2">
        <f>B2-B3</f>
        <v>136541</v>
      </c>
      <c r="C4" s="2">
        <f>EV!B22</f>
        <v>116836.5</v>
      </c>
      <c r="D4" s="2">
        <f>NG!D11</f>
        <v>113812.7834426902</v>
      </c>
      <c r="F4" s="2">
        <f>SUM(B4:D4)</f>
        <v>367190.28344269021</v>
      </c>
    </row>
    <row r="5" spans="1:7" x14ac:dyDescent="0.3">
      <c r="A5" t="s">
        <v>3</v>
      </c>
      <c r="B5" s="3">
        <v>0.98</v>
      </c>
      <c r="C5" s="3">
        <f>B5</f>
        <v>0.98</v>
      </c>
      <c r="D5" s="3">
        <f>B5</f>
        <v>0.98</v>
      </c>
    </row>
    <row r="6" spans="1:7" x14ac:dyDescent="0.3">
      <c r="A6" t="s">
        <v>4</v>
      </c>
      <c r="B6" s="2">
        <f>B4*B5</f>
        <v>133810.18</v>
      </c>
      <c r="C6" s="2">
        <f>C4*C5</f>
        <v>114499.77</v>
      </c>
      <c r="D6" s="2">
        <f>D4*D5</f>
        <v>111536.52777383639</v>
      </c>
      <c r="F6" s="2">
        <f>SUM(B6:D6)</f>
        <v>359846.47777383641</v>
      </c>
    </row>
    <row r="7" spans="1:7" x14ac:dyDescent="0.3">
      <c r="A7" t="s">
        <v>71</v>
      </c>
      <c r="B7" s="3">
        <v>0.5</v>
      </c>
      <c r="C7" s="3">
        <f>B7</f>
        <v>0.5</v>
      </c>
      <c r="D7" s="3">
        <f>B7</f>
        <v>0.5</v>
      </c>
      <c r="F7" s="2"/>
    </row>
    <row r="8" spans="1:7" x14ac:dyDescent="0.3">
      <c r="A8" t="s">
        <v>72</v>
      </c>
      <c r="B8" s="2">
        <f>B6*(1+B7)</f>
        <v>200715.27</v>
      </c>
      <c r="C8" s="2">
        <f t="shared" ref="C8:D8" si="0">C6*(1+C7)</f>
        <v>171749.655</v>
      </c>
      <c r="D8" s="2">
        <f t="shared" si="0"/>
        <v>167304.79166075459</v>
      </c>
      <c r="F8" s="2">
        <f>SUM(B8:D8)</f>
        <v>539769.71666075452</v>
      </c>
    </row>
    <row r="9" spans="1:7" x14ac:dyDescent="0.3">
      <c r="A9" t="s">
        <v>98</v>
      </c>
      <c r="B9" s="16">
        <f>B8/$F$8</f>
        <v>0.37185352161234642</v>
      </c>
      <c r="C9" s="16">
        <f t="shared" ref="C9:F9" si="1">C8/$F$8</f>
        <v>0.31819060925187975</v>
      </c>
      <c r="D9" s="16">
        <f t="shared" si="1"/>
        <v>0.30995586913577389</v>
      </c>
      <c r="E9" s="16" t="s">
        <v>50</v>
      </c>
      <c r="F9" s="16">
        <f t="shared" si="1"/>
        <v>1</v>
      </c>
    </row>
    <row r="10" spans="1:7" x14ac:dyDescent="0.3">
      <c r="A10" t="s">
        <v>5</v>
      </c>
      <c r="B10" s="2">
        <f>B4-B6</f>
        <v>2730.820000000007</v>
      </c>
      <c r="C10" s="2">
        <f>C4-C6</f>
        <v>2336.7299999999959</v>
      </c>
      <c r="D10" s="2">
        <f>D4-D6</f>
        <v>2276.2556688538025</v>
      </c>
      <c r="F10" s="2">
        <f>SUM(B10:D10)</f>
        <v>7343.8056688538054</v>
      </c>
    </row>
    <row r="12" spans="1:7" x14ac:dyDescent="0.3">
      <c r="A12" s="4" t="s">
        <v>6</v>
      </c>
    </row>
    <row r="13" spans="1:7" x14ac:dyDescent="0.3">
      <c r="A13" s="4" t="s">
        <v>84</v>
      </c>
      <c r="B13">
        <v>1800</v>
      </c>
      <c r="C13">
        <f>B13</f>
        <v>1800</v>
      </c>
      <c r="D13">
        <f>B13</f>
        <v>1800</v>
      </c>
      <c r="F13">
        <f>D13</f>
        <v>1800</v>
      </c>
    </row>
    <row r="14" spans="1:7" x14ac:dyDescent="0.3">
      <c r="A14" t="s">
        <v>7</v>
      </c>
      <c r="B14" s="30">
        <f>(B6*1000000/B13)/1000000</f>
        <v>74.338988888888892</v>
      </c>
      <c r="C14" s="30">
        <f>(C6*1000000/C13)/1000000</f>
        <v>63.610983333333337</v>
      </c>
      <c r="D14" s="30">
        <f>(D6*1000000/D13)/1000000</f>
        <v>61.964737652131333</v>
      </c>
      <c r="E14" s="4"/>
      <c r="F14" s="31">
        <f>SUM(B14:D14)</f>
        <v>199.91470987435358</v>
      </c>
    </row>
    <row r="15" spans="1:7" x14ac:dyDescent="0.3">
      <c r="A15" t="s">
        <v>73</v>
      </c>
      <c r="B15" s="30">
        <f>(B8*1000000/B13)/1000000</f>
        <v>111.50848333333333</v>
      </c>
      <c r="C15" s="30">
        <f t="shared" ref="C15:D15" si="2">(C8*1000000/C13)/1000000</f>
        <v>95.416475000000005</v>
      </c>
      <c r="D15" s="30">
        <f t="shared" si="2"/>
        <v>92.947106478197</v>
      </c>
      <c r="E15" s="4"/>
      <c r="F15" s="31">
        <f>SUM(B15:D15)</f>
        <v>299.87206481153032</v>
      </c>
    </row>
    <row r="16" spans="1:7" x14ac:dyDescent="0.3">
      <c r="A16" t="s">
        <v>128</v>
      </c>
      <c r="B16" s="32">
        <f>0.74/0.5</f>
        <v>1.48</v>
      </c>
      <c r="C16" s="32">
        <f>B16</f>
        <v>1.48</v>
      </c>
      <c r="D16" s="32">
        <f>B16</f>
        <v>1.48</v>
      </c>
      <c r="E16" s="12"/>
      <c r="F16" s="32">
        <f>B16</f>
        <v>1.48</v>
      </c>
    </row>
    <row r="17" spans="1:6" x14ac:dyDescent="0.3">
      <c r="A17" t="s">
        <v>129</v>
      </c>
      <c r="B17" s="30">
        <f>B15*1000/B16</f>
        <v>75343.569819819822</v>
      </c>
      <c r="C17" s="30">
        <f t="shared" ref="C17:F17" si="3">C15*1000/C16</f>
        <v>64470.59121621622</v>
      </c>
      <c r="D17" s="30">
        <f t="shared" si="3"/>
        <v>62802.098971754735</v>
      </c>
      <c r="E17" s="30"/>
      <c r="F17" s="30">
        <f t="shared" si="3"/>
        <v>202616.26000779078</v>
      </c>
    </row>
    <row r="18" spans="1:6" x14ac:dyDescent="0.3">
      <c r="A18" t="s">
        <v>130</v>
      </c>
      <c r="B18" s="30">
        <f>B17/640</f>
        <v>117.72432784346847</v>
      </c>
      <c r="C18" s="30">
        <f t="shared" ref="C18:F18" si="4">C17/640</f>
        <v>100.73529877533784</v>
      </c>
      <c r="D18" s="30">
        <f t="shared" si="4"/>
        <v>98.128279643366767</v>
      </c>
      <c r="E18" s="30"/>
      <c r="F18" s="30">
        <f t="shared" si="4"/>
        <v>316.58790626217308</v>
      </c>
    </row>
    <row r="19" spans="1:6" x14ac:dyDescent="0.3">
      <c r="A19" t="s">
        <v>131</v>
      </c>
      <c r="B19" s="30">
        <v>163696</v>
      </c>
      <c r="C19" s="30">
        <f>B19</f>
        <v>163696</v>
      </c>
      <c r="D19" s="30">
        <f>B19</f>
        <v>163696</v>
      </c>
      <c r="E19" s="30"/>
      <c r="F19" s="30">
        <f>B19</f>
        <v>163696</v>
      </c>
    </row>
    <row r="20" spans="1:6" x14ac:dyDescent="0.3">
      <c r="A20" t="s">
        <v>132</v>
      </c>
      <c r="B20" s="33">
        <f>B18/B19</f>
        <v>7.1916435247940374E-4</v>
      </c>
      <c r="C20" s="33">
        <f t="shared" ref="C20:F20" si="5">C18/C19</f>
        <v>6.1538033168396199E-4</v>
      </c>
      <c r="D20" s="33">
        <f t="shared" si="5"/>
        <v>5.9945435223442698E-4</v>
      </c>
      <c r="E20" s="33"/>
      <c r="F20" s="33">
        <f t="shared" si="5"/>
        <v>1.9339990363977928E-3</v>
      </c>
    </row>
    <row r="21" spans="1:6" x14ac:dyDescent="0.3">
      <c r="A21" t="s">
        <v>67</v>
      </c>
      <c r="B21" s="3">
        <v>0.2</v>
      </c>
      <c r="C21" s="3">
        <v>0.1</v>
      </c>
      <c r="D21" s="3">
        <v>0.1</v>
      </c>
    </row>
    <row r="22" spans="1:6" x14ac:dyDescent="0.3">
      <c r="A22" t="s">
        <v>65</v>
      </c>
      <c r="B22" s="3">
        <v>0.6</v>
      </c>
      <c r="C22" s="3">
        <v>0.2</v>
      </c>
      <c r="D22" s="3">
        <v>0.1</v>
      </c>
    </row>
    <row r="23" spans="1:6" x14ac:dyDescent="0.3">
      <c r="A23" t="s">
        <v>66</v>
      </c>
      <c r="B23" s="3">
        <v>0.2</v>
      </c>
      <c r="C23" s="3">
        <v>0.7</v>
      </c>
      <c r="D23" s="3">
        <v>0.8</v>
      </c>
    </row>
    <row r="24" spans="1:6" x14ac:dyDescent="0.3">
      <c r="A24" t="s">
        <v>8</v>
      </c>
      <c r="B24" s="6">
        <f>B$15*B21</f>
        <v>22.301696666666668</v>
      </c>
      <c r="C24" s="6">
        <f t="shared" ref="C24:D24" si="6">C$15*C21</f>
        <v>9.5416475000000016</v>
      </c>
      <c r="D24" s="6">
        <f t="shared" si="6"/>
        <v>9.2947106478197004</v>
      </c>
      <c r="F24" s="2">
        <f>SUM(B24:D24)</f>
        <v>41.138054814486367</v>
      </c>
    </row>
    <row r="25" spans="1:6" x14ac:dyDescent="0.3">
      <c r="A25" t="s">
        <v>9</v>
      </c>
      <c r="B25" s="6">
        <f>B$15*B22</f>
        <v>66.905090000000001</v>
      </c>
      <c r="C25" s="6">
        <f t="shared" ref="C25:D25" si="7">C$15*C22</f>
        <v>19.083295000000003</v>
      </c>
      <c r="D25" s="6">
        <f t="shared" si="7"/>
        <v>9.2947106478197004</v>
      </c>
      <c r="F25" s="2">
        <f>SUM(B25:D25)</f>
        <v>95.283095647819707</v>
      </c>
    </row>
    <row r="26" spans="1:6" x14ac:dyDescent="0.3">
      <c r="A26" t="s">
        <v>64</v>
      </c>
      <c r="B26" s="6">
        <f>B$15*B23</f>
        <v>22.301696666666668</v>
      </c>
      <c r="C26" s="6">
        <f t="shared" ref="C26:D26" si="8">C$15*C23</f>
        <v>66.791532500000002</v>
      </c>
      <c r="D26" s="6">
        <f t="shared" si="8"/>
        <v>74.357685182557603</v>
      </c>
      <c r="F26" s="2">
        <f>SUM(B26:D26)</f>
        <v>163.45091434922426</v>
      </c>
    </row>
    <row r="27" spans="1:6" x14ac:dyDescent="0.3">
      <c r="A27" t="s">
        <v>19</v>
      </c>
      <c r="B27" s="6">
        <f>SUM(B24:B26)</f>
        <v>111.50848333333334</v>
      </c>
      <c r="C27" s="6">
        <f t="shared" ref="C27:D27" si="9">SUM(C24:C26)</f>
        <v>95.416475000000005</v>
      </c>
      <c r="D27" s="6">
        <f t="shared" si="9"/>
        <v>92.947106478197</v>
      </c>
      <c r="F27" s="2">
        <f>SUM(B27:D27)</f>
        <v>299.87206481153032</v>
      </c>
    </row>
    <row r="28" spans="1:6" x14ac:dyDescent="0.3">
      <c r="A28" t="s">
        <v>76</v>
      </c>
      <c r="B28" s="6">
        <f t="shared" ref="B28:D30" si="10">B24/B$66</f>
        <v>1.8584747222222224</v>
      </c>
      <c r="C28" s="6">
        <f t="shared" si="10"/>
        <v>0.7951372916666668</v>
      </c>
      <c r="D28" s="6">
        <f t="shared" si="10"/>
        <v>0.77455922065164173</v>
      </c>
      <c r="F28" s="6">
        <f>F24/F$66</f>
        <v>3.4281712345405304</v>
      </c>
    </row>
    <row r="29" spans="1:6" x14ac:dyDescent="0.3">
      <c r="A29" t="s">
        <v>77</v>
      </c>
      <c r="B29" s="6">
        <f t="shared" si="10"/>
        <v>5.5754241666666671</v>
      </c>
      <c r="C29" s="6">
        <f t="shared" si="10"/>
        <v>1.5902745833333336</v>
      </c>
      <c r="D29" s="6">
        <f t="shared" si="10"/>
        <v>0.77455922065164173</v>
      </c>
      <c r="F29" s="6">
        <f>F25/F$66</f>
        <v>7.9402579706516425</v>
      </c>
    </row>
    <row r="30" spans="1:6" x14ac:dyDescent="0.3">
      <c r="A30" t="s">
        <v>78</v>
      </c>
      <c r="B30" s="6">
        <f t="shared" si="10"/>
        <v>1.8584747222222224</v>
      </c>
      <c r="C30" s="6">
        <f t="shared" si="10"/>
        <v>5.5659610416666672</v>
      </c>
      <c r="D30" s="6">
        <f t="shared" si="10"/>
        <v>6.1964737652131339</v>
      </c>
      <c r="F30" s="6">
        <f>F26/F$66</f>
        <v>13.620909529102022</v>
      </c>
    </row>
    <row r="31" spans="1:6" x14ac:dyDescent="0.3">
      <c r="A31" t="s">
        <v>79</v>
      </c>
      <c r="B31" s="6">
        <f>SUM(B28:B30)</f>
        <v>9.2923736111111115</v>
      </c>
      <c r="C31" s="6">
        <f t="shared" ref="C31" si="11">SUM(C28:C30)</f>
        <v>7.9513729166666671</v>
      </c>
      <c r="D31" s="6">
        <f t="shared" ref="D31" si="12">SUM(D28:D30)</f>
        <v>7.7455922065164176</v>
      </c>
      <c r="F31" s="2">
        <f>SUM(B31:D31)</f>
        <v>24.989338734294197</v>
      </c>
    </row>
    <row r="32" spans="1:6" x14ac:dyDescent="0.3">
      <c r="A32" t="s">
        <v>10</v>
      </c>
      <c r="B32" s="8">
        <v>4.2</v>
      </c>
      <c r="C32" s="8">
        <f>B32</f>
        <v>4.2</v>
      </c>
      <c r="D32" s="8">
        <f>B32</f>
        <v>4.2</v>
      </c>
    </row>
    <row r="33" spans="1:6" x14ac:dyDescent="0.3">
      <c r="A33" t="s">
        <v>11</v>
      </c>
      <c r="B33" s="8">
        <v>3.05</v>
      </c>
      <c r="C33" s="8">
        <f t="shared" ref="C33:C34" si="13">B33</f>
        <v>3.05</v>
      </c>
      <c r="D33" s="8">
        <f t="shared" ref="D33:D34" si="14">B33</f>
        <v>3.05</v>
      </c>
    </row>
    <row r="34" spans="1:6" x14ac:dyDescent="0.3">
      <c r="A34" t="s">
        <v>68</v>
      </c>
      <c r="B34" s="8">
        <v>2.0299999999999998</v>
      </c>
      <c r="C34" s="8">
        <f t="shared" si="13"/>
        <v>2.0299999999999998</v>
      </c>
      <c r="D34" s="8">
        <f t="shared" si="14"/>
        <v>2.0299999999999998</v>
      </c>
    </row>
    <row r="35" spans="1:6" x14ac:dyDescent="0.3">
      <c r="A35" t="s">
        <v>12</v>
      </c>
      <c r="B35" s="3">
        <v>0.3</v>
      </c>
      <c r="C35" s="3">
        <v>0.3</v>
      </c>
      <c r="D35" s="3">
        <v>0.3</v>
      </c>
    </row>
    <row r="36" spans="1:6" x14ac:dyDescent="0.3">
      <c r="A36" t="s">
        <v>13</v>
      </c>
      <c r="B36" s="9">
        <f>B32*(1-B35)</f>
        <v>2.94</v>
      </c>
      <c r="C36" s="9">
        <f>C32*(1-C35)</f>
        <v>2.94</v>
      </c>
      <c r="D36" s="9">
        <f>D32*(1-D35)</f>
        <v>2.94</v>
      </c>
    </row>
    <row r="37" spans="1:6" x14ac:dyDescent="0.3">
      <c r="A37" t="s">
        <v>14</v>
      </c>
      <c r="B37" s="9">
        <f>B33*(1-$B$35)</f>
        <v>2.1349999999999998</v>
      </c>
      <c r="C37" s="9">
        <f t="shared" ref="C37:D37" si="15">C33*(1-$B$35)</f>
        <v>2.1349999999999998</v>
      </c>
      <c r="D37" s="9">
        <f t="shared" si="15"/>
        <v>2.1349999999999998</v>
      </c>
    </row>
    <row r="38" spans="1:6" x14ac:dyDescent="0.3">
      <c r="A38" t="s">
        <v>69</v>
      </c>
      <c r="B38" s="9">
        <f t="shared" ref="B38:D38" si="16">B34*(1-$B$35)</f>
        <v>1.4209999999999998</v>
      </c>
      <c r="C38" s="9">
        <f t="shared" si="16"/>
        <v>1.4209999999999998</v>
      </c>
      <c r="D38" s="9">
        <f t="shared" si="16"/>
        <v>1.4209999999999998</v>
      </c>
    </row>
    <row r="39" spans="1:6" x14ac:dyDescent="0.3">
      <c r="A39" t="s">
        <v>15</v>
      </c>
      <c r="B39" s="10">
        <f t="shared" ref="B39:D41" si="17">B24*B36</f>
        <v>65.566988199999997</v>
      </c>
      <c r="C39" s="10">
        <f t="shared" si="17"/>
        <v>28.052443650000004</v>
      </c>
      <c r="D39" s="10">
        <f t="shared" si="17"/>
        <v>27.326449304589918</v>
      </c>
    </row>
    <row r="40" spans="1:6" x14ac:dyDescent="0.3">
      <c r="A40" t="s">
        <v>15</v>
      </c>
      <c r="B40" s="10">
        <f t="shared" si="17"/>
        <v>142.84236715</v>
      </c>
      <c r="C40" s="10">
        <f t="shared" si="17"/>
        <v>40.742834825000003</v>
      </c>
      <c r="D40" s="10">
        <f t="shared" si="17"/>
        <v>19.844207233095059</v>
      </c>
    </row>
    <row r="41" spans="1:6" x14ac:dyDescent="0.3">
      <c r="A41" t="s">
        <v>70</v>
      </c>
      <c r="B41" s="10">
        <f t="shared" si="17"/>
        <v>31.690710963333331</v>
      </c>
      <c r="C41" s="10">
        <f t="shared" si="17"/>
        <v>94.910767682499994</v>
      </c>
      <c r="D41" s="10">
        <f t="shared" si="17"/>
        <v>105.66227064441433</v>
      </c>
    </row>
    <row r="42" spans="1:6" x14ac:dyDescent="0.3">
      <c r="A42" t="s">
        <v>16</v>
      </c>
      <c r="B42" s="15">
        <f>SUM(B39:B41)</f>
        <v>240.10006631333334</v>
      </c>
      <c r="C42" s="15">
        <f t="shared" ref="C42:D42" si="18">SUM(C39:C41)</f>
        <v>163.7060461575</v>
      </c>
      <c r="D42" s="15">
        <f t="shared" si="18"/>
        <v>152.8329271820993</v>
      </c>
      <c r="E42" s="4"/>
      <c r="F42" s="15">
        <f>SUM(B42:D42)</f>
        <v>556.63903965293264</v>
      </c>
    </row>
    <row r="43" spans="1:6" x14ac:dyDescent="0.3">
      <c r="A43" t="s">
        <v>124</v>
      </c>
      <c r="B43" s="5">
        <f>B14*1000000/B68</f>
        <v>1.8791453207504776</v>
      </c>
      <c r="C43" s="5">
        <f>C14*1000000/C68</f>
        <v>1.607962167172228</v>
      </c>
      <c r="D43" s="5">
        <f>D14*1000000/D68</f>
        <v>1.5663482722985675</v>
      </c>
      <c r="E43" s="5" t="s">
        <v>50</v>
      </c>
      <c r="F43" s="5">
        <f>F14*1000000/F68</f>
        <v>5.0933684044421295</v>
      </c>
    </row>
    <row r="44" spans="1:6" x14ac:dyDescent="0.3">
      <c r="A44" t="s">
        <v>125</v>
      </c>
      <c r="B44" s="5">
        <f>B15*1000000/B68</f>
        <v>2.8187179811257161</v>
      </c>
      <c r="C44" s="5">
        <f t="shared" ref="C44:F44" si="19">C15*1000000/C68</f>
        <v>2.4119432507583416</v>
      </c>
      <c r="D44" s="5">
        <f t="shared" si="19"/>
        <v>2.349522408447851</v>
      </c>
      <c r="E44" s="5" t="s">
        <v>50</v>
      </c>
      <c r="F44" s="5">
        <f t="shared" si="19"/>
        <v>7.6400526066631933</v>
      </c>
    </row>
    <row r="46" spans="1:6" x14ac:dyDescent="0.3">
      <c r="A46" s="4" t="s">
        <v>18</v>
      </c>
    </row>
    <row r="47" spans="1:6" x14ac:dyDescent="0.3">
      <c r="A47" t="s">
        <v>20</v>
      </c>
      <c r="B47">
        <v>4</v>
      </c>
      <c r="C47">
        <f>B47</f>
        <v>4</v>
      </c>
      <c r="D47">
        <f>B47</f>
        <v>4</v>
      </c>
    </row>
    <row r="48" spans="1:6" x14ac:dyDescent="0.3">
      <c r="A48" t="s">
        <v>21</v>
      </c>
      <c r="B48" s="6">
        <f>(B47*B14)+(B63*B60)</f>
        <v>300.81209213598027</v>
      </c>
      <c r="C48" s="6">
        <f>C47*C14</f>
        <v>254.44393333333335</v>
      </c>
      <c r="D48" s="6">
        <f>D47*D14</f>
        <v>247.85895060852533</v>
      </c>
      <c r="F48" s="5">
        <f>SUM(B48:D48)</f>
        <v>803.11497607783895</v>
      </c>
    </row>
    <row r="49" spans="1:7" x14ac:dyDescent="0.3">
      <c r="A49" t="s">
        <v>75</v>
      </c>
      <c r="B49" s="6">
        <f>B48/B66</f>
        <v>25.067674344665022</v>
      </c>
      <c r="C49" s="6">
        <f t="shared" ref="C49:D49" si="20">C48/C66</f>
        <v>21.203661111111114</v>
      </c>
      <c r="D49" s="6">
        <f t="shared" si="20"/>
        <v>20.654912550710446</v>
      </c>
      <c r="F49" s="6">
        <f>F48/F66</f>
        <v>66.926248006486574</v>
      </c>
    </row>
    <row r="50" spans="1:7" x14ac:dyDescent="0.3">
      <c r="A50" t="s">
        <v>22</v>
      </c>
      <c r="B50" s="7">
        <v>110</v>
      </c>
      <c r="C50" s="7">
        <f>B50</f>
        <v>110</v>
      </c>
      <c r="D50" s="7">
        <f>B50</f>
        <v>110</v>
      </c>
    </row>
    <row r="51" spans="1:7" x14ac:dyDescent="0.3">
      <c r="A51" t="s">
        <v>23</v>
      </c>
      <c r="B51" s="8">
        <f>B48*B50/1000</f>
        <v>33.089330134957834</v>
      </c>
      <c r="C51" s="8">
        <f>C48*C50/1000</f>
        <v>27.988832666666671</v>
      </c>
      <c r="D51" s="8">
        <f>D48*D50/1000</f>
        <v>27.264484566937785</v>
      </c>
      <c r="F51" s="10">
        <f>SUM(B51:D51)</f>
        <v>88.342647368562282</v>
      </c>
    </row>
    <row r="52" spans="1:7" x14ac:dyDescent="0.3">
      <c r="A52" t="s">
        <v>24</v>
      </c>
      <c r="B52">
        <v>20</v>
      </c>
      <c r="C52">
        <f>B52</f>
        <v>20</v>
      </c>
      <c r="D52">
        <f>B52</f>
        <v>20</v>
      </c>
      <c r="F52">
        <f>B52</f>
        <v>20</v>
      </c>
    </row>
    <row r="53" spans="1:7" x14ac:dyDescent="0.3">
      <c r="A53" t="s">
        <v>74</v>
      </c>
      <c r="B53" s="16">
        <f>B51/B65</f>
        <v>0.12026546371136795</v>
      </c>
      <c r="C53" s="16">
        <f t="shared" ref="C53:D53" si="21">C51/C65</f>
        <v>0.14474958802427668</v>
      </c>
      <c r="D53" s="16">
        <f t="shared" si="21"/>
        <v>0.15003585620357557</v>
      </c>
      <c r="F53" s="16">
        <f>F51/F65</f>
        <v>0.13586663310585295</v>
      </c>
    </row>
    <row r="54" spans="1:7" x14ac:dyDescent="0.3">
      <c r="A54" t="s">
        <v>94</v>
      </c>
      <c r="B54" s="18">
        <f>(B51/(B8*B52))*1000</f>
        <v>8.2428532056773342E-3</v>
      </c>
      <c r="C54" s="18">
        <f>(C51/(C8*C52))*1000</f>
        <v>8.1481481481481492E-3</v>
      </c>
      <c r="D54" s="18">
        <f>(D51/(D8*D52))*1000</f>
        <v>8.1481481481481492E-3</v>
      </c>
      <c r="E54" s="18" t="s">
        <v>50</v>
      </c>
      <c r="F54" s="18">
        <f>(F51/(F8*F52))*1000</f>
        <v>8.1833645573048761E-3</v>
      </c>
    </row>
    <row r="56" spans="1:7" x14ac:dyDescent="0.3">
      <c r="A56" s="4" t="s">
        <v>25</v>
      </c>
    </row>
    <row r="57" spans="1:7" x14ac:dyDescent="0.3">
      <c r="A57" s="12" t="s">
        <v>28</v>
      </c>
      <c r="B57">
        <v>5.66</v>
      </c>
      <c r="C57">
        <v>5.66</v>
      </c>
      <c r="D57">
        <v>5.66</v>
      </c>
    </row>
    <row r="58" spans="1:7" x14ac:dyDescent="0.3">
      <c r="A58" s="12" t="s">
        <v>27</v>
      </c>
      <c r="B58">
        <v>13500</v>
      </c>
      <c r="C58">
        <v>13500</v>
      </c>
      <c r="D58">
        <v>13500</v>
      </c>
    </row>
    <row r="59" spans="1:7" x14ac:dyDescent="0.3">
      <c r="A59" s="12" t="s">
        <v>26</v>
      </c>
      <c r="B59" s="11">
        <f>B58/B57</f>
        <v>2385.1590106007066</v>
      </c>
      <c r="C59" s="11">
        <f>C58/C57</f>
        <v>2385.1590106007066</v>
      </c>
      <c r="D59" s="11">
        <f>D58/D57</f>
        <v>2385.1590106007066</v>
      </c>
      <c r="F59" s="11">
        <f>B59</f>
        <v>2385.1590106007066</v>
      </c>
      <c r="G59" s="6">
        <f>B59/B13</f>
        <v>1.3250883392226147</v>
      </c>
    </row>
    <row r="60" spans="1:7" x14ac:dyDescent="0.3">
      <c r="A60" s="12" t="s">
        <v>29</v>
      </c>
      <c r="B60" s="6">
        <f>B10/B59</f>
        <v>1.1449215703703735</v>
      </c>
      <c r="C60" s="6">
        <f>C10/C59</f>
        <v>0.97969568888888725</v>
      </c>
      <c r="D60" s="6">
        <f>D10/D59</f>
        <v>0.95434126560833499</v>
      </c>
      <c r="F60" s="2">
        <f>SUM(B60:D60)</f>
        <v>3.0789585248675957</v>
      </c>
    </row>
    <row r="61" spans="1:7" x14ac:dyDescent="0.3">
      <c r="A61" s="12" t="s">
        <v>30</v>
      </c>
      <c r="B61" s="8">
        <v>1.7</v>
      </c>
      <c r="C61" s="8">
        <v>1.7</v>
      </c>
      <c r="D61" s="8">
        <v>1.7</v>
      </c>
    </row>
    <row r="62" spans="1:7" x14ac:dyDescent="0.3">
      <c r="A62" s="12" t="s">
        <v>31</v>
      </c>
      <c r="B62" s="8">
        <f>B60*B61</f>
        <v>1.9463666696296349</v>
      </c>
      <c r="C62" s="8">
        <f>C60*C61</f>
        <v>1.6654826711111084</v>
      </c>
      <c r="D62" s="8">
        <f>D60*D61</f>
        <v>1.6223801515341694</v>
      </c>
      <c r="F62" s="10">
        <f>SUM(B62:D62)</f>
        <v>5.2342294922749133</v>
      </c>
    </row>
    <row r="63" spans="1:7" x14ac:dyDescent="0.3">
      <c r="A63" t="s">
        <v>164</v>
      </c>
      <c r="B63" s="14">
        <f>B47/G59</f>
        <v>3.0186666666666668</v>
      </c>
      <c r="C63" s="14">
        <f>B63</f>
        <v>3.0186666666666668</v>
      </c>
      <c r="D63" s="14">
        <f>B63</f>
        <v>3.0186666666666668</v>
      </c>
    </row>
    <row r="65" spans="1:6" x14ac:dyDescent="0.3">
      <c r="A65" s="4" t="s">
        <v>32</v>
      </c>
      <c r="B65" s="13">
        <f>B42+B51+B62</f>
        <v>275.13576311792082</v>
      </c>
      <c r="C65" s="13">
        <f>C42+C51+C62</f>
        <v>193.36036149527777</v>
      </c>
      <c r="D65" s="13">
        <f>D42+D51+D62</f>
        <v>181.71979190057127</v>
      </c>
      <c r="F65" s="15">
        <f>SUM(B65:D65)</f>
        <v>650.21591651376991</v>
      </c>
    </row>
    <row r="66" spans="1:6" x14ac:dyDescent="0.3">
      <c r="A66" t="s">
        <v>33</v>
      </c>
      <c r="B66">
        <v>12</v>
      </c>
      <c r="C66">
        <f>B66</f>
        <v>12</v>
      </c>
      <c r="D66">
        <f>B66</f>
        <v>12</v>
      </c>
      <c r="F66">
        <f>B66</f>
        <v>12</v>
      </c>
    </row>
    <row r="67" spans="1:6" x14ac:dyDescent="0.3">
      <c r="A67" t="s">
        <v>116</v>
      </c>
      <c r="B67" s="9">
        <f>B65/B66</f>
        <v>22.927980259826736</v>
      </c>
      <c r="C67" s="9">
        <f>C65/C66</f>
        <v>16.113363457939816</v>
      </c>
      <c r="D67" s="9">
        <f>D65/D66</f>
        <v>15.143315991714273</v>
      </c>
      <c r="F67" s="15">
        <f>SUM(B67:D67)</f>
        <v>54.184659709480826</v>
      </c>
    </row>
    <row r="68" spans="1:6" x14ac:dyDescent="0.3">
      <c r="A68" t="s">
        <v>35</v>
      </c>
      <c r="B68" s="2">
        <v>39560000</v>
      </c>
      <c r="C68" s="2">
        <f>B68</f>
        <v>39560000</v>
      </c>
      <c r="D68" s="2">
        <f>B68</f>
        <v>39560000</v>
      </c>
      <c r="F68" s="2">
        <v>39250000</v>
      </c>
    </row>
    <row r="69" spans="1:6" x14ac:dyDescent="0.3">
      <c r="A69" t="s">
        <v>34</v>
      </c>
      <c r="B69" s="9">
        <f>B67*1000000000/B68</f>
        <v>579.57482962150493</v>
      </c>
      <c r="C69" s="9">
        <f>C67*1000000000/C68</f>
        <v>407.31454645955046</v>
      </c>
      <c r="D69" s="9">
        <f>D67*1000000000/D68</f>
        <v>382.79362971977434</v>
      </c>
      <c r="F69" s="34">
        <f>SUM(B69:D69)</f>
        <v>1369.6830058008297</v>
      </c>
    </row>
    <row r="70" spans="1:6" x14ac:dyDescent="0.3">
      <c r="A70" t="s">
        <v>36</v>
      </c>
      <c r="B70" s="9">
        <f>B69/365</f>
        <v>1.5878762455383697</v>
      </c>
      <c r="C70" s="9">
        <f>C69/365</f>
        <v>1.1159302642727409</v>
      </c>
      <c r="D70" s="9">
        <f>D69/365</f>
        <v>1.0487496704651351</v>
      </c>
      <c r="F70" s="13">
        <f>SUM(B70:D70)</f>
        <v>3.7525561802762457</v>
      </c>
    </row>
    <row r="71" spans="1:6" x14ac:dyDescent="0.3">
      <c r="A71" t="s">
        <v>85</v>
      </c>
      <c r="B71" s="2">
        <f>B8-B6</f>
        <v>66905.09</v>
      </c>
      <c r="C71" s="2">
        <f>C8-C6</f>
        <v>57249.884999999995</v>
      </c>
      <c r="D71" s="2">
        <f>D8-D6</f>
        <v>55768.263886918197</v>
      </c>
      <c r="E71" s="2" t="s">
        <v>50</v>
      </c>
      <c r="F71" s="2">
        <f>F8-F6</f>
        <v>179923.23888691812</v>
      </c>
    </row>
    <row r="72" spans="1:6" x14ac:dyDescent="0.3">
      <c r="A72" t="s">
        <v>86</v>
      </c>
      <c r="B72" s="8">
        <v>0.1</v>
      </c>
      <c r="C72" s="8">
        <v>0.1</v>
      </c>
      <c r="D72" s="8">
        <v>0.1</v>
      </c>
      <c r="F72" s="8">
        <v>0.1</v>
      </c>
    </row>
    <row r="73" spans="1:6" x14ac:dyDescent="0.3">
      <c r="A73" t="s">
        <v>87</v>
      </c>
      <c r="B73" s="8">
        <f>B71*B72/1000</f>
        <v>6.6905089999999996</v>
      </c>
      <c r="C73" s="8">
        <f t="shared" ref="C73:F73" si="22">C71*C72/1000</f>
        <v>5.7249884999999994</v>
      </c>
      <c r="D73" s="8">
        <f t="shared" si="22"/>
        <v>5.5768263886918206</v>
      </c>
      <c r="E73" s="8" t="s">
        <v>50</v>
      </c>
      <c r="F73" s="8">
        <f t="shared" si="22"/>
        <v>17.992323888691811</v>
      </c>
    </row>
    <row r="74" spans="1:6" x14ac:dyDescent="0.3">
      <c r="A74" t="s">
        <v>92</v>
      </c>
      <c r="B74" s="8">
        <v>0.23</v>
      </c>
      <c r="C74" s="8">
        <v>0.23</v>
      </c>
      <c r="D74" s="8">
        <v>0.23</v>
      </c>
      <c r="E74" s="8" t="s">
        <v>50</v>
      </c>
      <c r="F74" s="8">
        <v>0.23</v>
      </c>
    </row>
    <row r="75" spans="1:6" x14ac:dyDescent="0.3">
      <c r="A75" t="s">
        <v>91</v>
      </c>
      <c r="B75" s="8">
        <f>B8*B74/1000</f>
        <v>46.164512100000003</v>
      </c>
      <c r="C75" s="8">
        <f>C8*C74/1000</f>
        <v>39.502420649999998</v>
      </c>
      <c r="D75" s="8">
        <f>D8*D74/1000</f>
        <v>38.480102081973556</v>
      </c>
      <c r="E75" s="8" t="s">
        <v>50</v>
      </c>
      <c r="F75" s="8">
        <f>F8*F74/1000</f>
        <v>124.14703483197356</v>
      </c>
    </row>
    <row r="76" spans="1:6" x14ac:dyDescent="0.3">
      <c r="A76" t="s">
        <v>93</v>
      </c>
      <c r="B76" s="17">
        <f>(B67/B8)*1000</f>
        <v>0.11423136993925144</v>
      </c>
      <c r="C76" s="17">
        <f>(C67/C8)*1000</f>
        <v>9.3818898547073162E-2</v>
      </c>
      <c r="D76" s="17">
        <f>(D67/D8)*1000</f>
        <v>9.0513342991517601E-2</v>
      </c>
      <c r="E76" s="17" t="s">
        <v>50</v>
      </c>
      <c r="F76" s="17">
        <f>(F67/F8)*1000</f>
        <v>0.10038477157386713</v>
      </c>
    </row>
    <row r="77" spans="1:6" x14ac:dyDescent="0.3">
      <c r="A77" t="s">
        <v>95</v>
      </c>
      <c r="B77" s="8">
        <f>(B75*1000000000/B68)/365</f>
        <v>3.1971212169480729</v>
      </c>
      <c r="C77" s="8">
        <f t="shared" ref="C77:F77" si="23">(C75*1000000000/C68)/365</f>
        <v>2.7357383720930231</v>
      </c>
      <c r="D77" s="8">
        <f t="shared" si="23"/>
        <v>2.6649377454723573</v>
      </c>
      <c r="E77" s="8" t="s">
        <v>50</v>
      </c>
      <c r="F77" s="24">
        <f t="shared" si="23"/>
        <v>8.6657035045440054</v>
      </c>
    </row>
    <row r="78" spans="1:6" x14ac:dyDescent="0.3">
      <c r="A78" t="s">
        <v>96</v>
      </c>
      <c r="B78" s="8"/>
      <c r="C78" s="8"/>
      <c r="D78" s="8"/>
      <c r="E78" s="8" t="s">
        <v>50</v>
      </c>
      <c r="F78" s="24">
        <f>EV!$B$19+'Totals California'!F77</f>
        <v>12.981173676434803</v>
      </c>
    </row>
    <row r="79" spans="1:6" x14ac:dyDescent="0.3">
      <c r="A79" t="s">
        <v>97</v>
      </c>
      <c r="B79" s="8"/>
      <c r="C79" s="8"/>
      <c r="D79" s="8"/>
      <c r="F79" s="28">
        <f>F78*365</f>
        <v>4738.1283918987028</v>
      </c>
    </row>
    <row r="80" spans="1:6" x14ac:dyDescent="0.3">
      <c r="A80" t="s">
        <v>117</v>
      </c>
      <c r="F80" s="28">
        <f>F79*4</f>
        <v>18952.513567594811</v>
      </c>
    </row>
    <row r="81" spans="1:7" x14ac:dyDescent="0.3">
      <c r="A81" t="s">
        <v>126</v>
      </c>
      <c r="B81" s="2">
        <v>327200000</v>
      </c>
      <c r="C81" s="2">
        <v>327200000</v>
      </c>
      <c r="D81" s="2">
        <v>327200000</v>
      </c>
      <c r="E81" s="2"/>
      <c r="F81" s="2">
        <v>327200000</v>
      </c>
    </row>
    <row r="82" spans="1:7" x14ac:dyDescent="0.3">
      <c r="A82" t="s">
        <v>127</v>
      </c>
      <c r="B82" s="5">
        <f>B81/B68</f>
        <v>8.2709807886754305</v>
      </c>
      <c r="C82" s="5">
        <f t="shared" ref="C82:F82" si="24">C81/C68</f>
        <v>8.2709807886754305</v>
      </c>
      <c r="D82" s="5">
        <f t="shared" si="24"/>
        <v>8.2709807886754305</v>
      </c>
      <c r="E82" s="5"/>
      <c r="F82" s="5">
        <f t="shared" si="24"/>
        <v>8.3363057324840764</v>
      </c>
    </row>
    <row r="83" spans="1:7" x14ac:dyDescent="0.3">
      <c r="A83" t="s">
        <v>139</v>
      </c>
      <c r="B83" s="13">
        <f>B65*B82/1000</f>
        <v>2.2756426110258769</v>
      </c>
      <c r="C83" s="13">
        <f>C65*C82/1000</f>
        <v>1.5992798352187789</v>
      </c>
      <c r="D83" s="13">
        <f>D65*D82/1000</f>
        <v>1.5030009077317219</v>
      </c>
      <c r="E83" s="13"/>
      <c r="F83" s="13">
        <f>F65*F82/1000</f>
        <v>5.4203986721861277</v>
      </c>
    </row>
    <row r="84" spans="1:7" x14ac:dyDescent="0.3">
      <c r="A84" t="s">
        <v>140</v>
      </c>
      <c r="F84" s="35">
        <v>3797000</v>
      </c>
    </row>
    <row r="85" spans="1:7" x14ac:dyDescent="0.3">
      <c r="A85" t="s">
        <v>141</v>
      </c>
      <c r="F85" s="11">
        <f>F18*F82</f>
        <v>2639.1735778084849</v>
      </c>
    </row>
    <row r="86" spans="1:7" x14ac:dyDescent="0.3">
      <c r="A86" t="s">
        <v>142</v>
      </c>
      <c r="F86" s="27">
        <f>F85/F84</f>
        <v>6.9506810055530287E-4</v>
      </c>
    </row>
    <row r="87" spans="1:7" x14ac:dyDescent="0.3">
      <c r="A87" t="s">
        <v>174</v>
      </c>
      <c r="B87" s="2"/>
      <c r="C87" s="2"/>
      <c r="D87" s="2"/>
      <c r="E87" s="2"/>
      <c r="F87" s="2">
        <f>(F8+F10)*1000000/F68</f>
        <v>13939.198021136519</v>
      </c>
      <c r="G87" t="s">
        <v>107</v>
      </c>
    </row>
    <row r="88" spans="1:7" x14ac:dyDescent="0.3">
      <c r="A88" t="s">
        <v>175</v>
      </c>
      <c r="F88" s="6">
        <f>'Totals USA'!F81/'Totals California'!F87</f>
        <v>1.8348803172797041</v>
      </c>
    </row>
    <row r="89" spans="1:7" x14ac:dyDescent="0.3">
      <c r="A89" t="s">
        <v>176</v>
      </c>
      <c r="B89" s="5"/>
      <c r="C89" s="5"/>
      <c r="D89" s="5"/>
      <c r="E89" s="5"/>
      <c r="F89" s="5">
        <f>F20/(1/640)</f>
        <v>1.2377593832945872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3" sqref="B13"/>
    </sheetView>
  </sheetViews>
  <sheetFormatPr defaultRowHeight="14.4" x14ac:dyDescent="0.3"/>
  <cols>
    <col min="1" max="1" width="25.109375" customWidth="1"/>
  </cols>
  <sheetData>
    <row r="1" spans="1:3" x14ac:dyDescent="0.3">
      <c r="A1" t="s">
        <v>133</v>
      </c>
      <c r="C1" t="s">
        <v>136</v>
      </c>
    </row>
    <row r="2" spans="1:3" x14ac:dyDescent="0.3">
      <c r="A2" t="s">
        <v>19</v>
      </c>
      <c r="B2" s="2">
        <v>285488</v>
      </c>
      <c r="C2" s="3">
        <v>1</v>
      </c>
    </row>
    <row r="3" spans="1:3" x14ac:dyDescent="0.3">
      <c r="A3" t="s">
        <v>134</v>
      </c>
      <c r="B3" s="2">
        <v>89502</v>
      </c>
      <c r="C3" s="16">
        <f>B3/$B$2</f>
        <v>0.31350529619458611</v>
      </c>
    </row>
    <row r="4" spans="1:3" x14ac:dyDescent="0.3">
      <c r="A4" t="s">
        <v>135</v>
      </c>
      <c r="B4" s="2">
        <v>226043</v>
      </c>
      <c r="C4" s="16">
        <f t="shared" ref="C4:C5" si="0">B4/$B$2</f>
        <v>0.79177758784957686</v>
      </c>
    </row>
    <row r="5" spans="1:3" x14ac:dyDescent="0.3">
      <c r="A5" t="s">
        <v>6</v>
      </c>
      <c r="B5" s="2">
        <v>32533</v>
      </c>
      <c r="C5" s="16">
        <f t="shared" si="0"/>
        <v>0.11395575295634142</v>
      </c>
    </row>
    <row r="6" spans="1:3" x14ac:dyDescent="0.3">
      <c r="A6" t="s">
        <v>25</v>
      </c>
      <c r="B6" s="2">
        <v>32711</v>
      </c>
      <c r="C6" s="16">
        <f>B6/$B$2</f>
        <v>0.11457924676343664</v>
      </c>
    </row>
    <row r="7" spans="1:3" x14ac:dyDescent="0.3">
      <c r="A7" t="s">
        <v>137</v>
      </c>
      <c r="B7" s="2">
        <f>B5+B6</f>
        <v>65244</v>
      </c>
      <c r="C7" s="16">
        <f>B7/$B$2</f>
        <v>0.22853499971977806</v>
      </c>
    </row>
    <row r="8" spans="1:3" x14ac:dyDescent="0.3">
      <c r="A8" t="s">
        <v>168</v>
      </c>
      <c r="B8" s="2">
        <v>18807</v>
      </c>
    </row>
    <row r="9" spans="1:3" x14ac:dyDescent="0.3">
      <c r="A9" t="s">
        <v>169</v>
      </c>
      <c r="B9" s="2">
        <v>24353</v>
      </c>
      <c r="C9" s="2">
        <f>B9-B8</f>
        <v>5546</v>
      </c>
    </row>
    <row r="10" spans="1:3" x14ac:dyDescent="0.3">
      <c r="A10" t="s">
        <v>170</v>
      </c>
      <c r="B10" s="2">
        <v>26951</v>
      </c>
      <c r="C10" s="2">
        <f>B10-B9</f>
        <v>2598</v>
      </c>
    </row>
    <row r="11" spans="1:3" x14ac:dyDescent="0.3">
      <c r="A11" t="s">
        <v>171</v>
      </c>
      <c r="B11" s="2">
        <f>C9+C10</f>
        <v>8144</v>
      </c>
    </row>
    <row r="12" spans="1:3" x14ac:dyDescent="0.3">
      <c r="A12" t="s">
        <v>172</v>
      </c>
      <c r="B12">
        <f>B11/2</f>
        <v>4072</v>
      </c>
    </row>
    <row r="13" spans="1:3" x14ac:dyDescent="0.3">
      <c r="A13" t="s">
        <v>173</v>
      </c>
      <c r="B13" s="27">
        <f>(B12*'Totals California'!F66)/'Totals California'!F8</f>
        <v>9.0527494395746255E-2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4" sqref="B4"/>
    </sheetView>
  </sheetViews>
  <sheetFormatPr defaultRowHeight="14.4" x14ac:dyDescent="0.3"/>
  <cols>
    <col min="1" max="1" width="17.44140625" customWidth="1"/>
    <col min="2" max="2" width="14.44140625" bestFit="1" customWidth="1"/>
  </cols>
  <sheetData>
    <row r="1" spans="1:3" x14ac:dyDescent="0.3">
      <c r="A1" s="4" t="s">
        <v>144</v>
      </c>
    </row>
    <row r="2" spans="1:3" ht="28.8" x14ac:dyDescent="0.3">
      <c r="A2" s="36" t="s">
        <v>145</v>
      </c>
      <c r="B2" s="2">
        <v>103852870645.4738</v>
      </c>
      <c r="C2" t="s">
        <v>146</v>
      </c>
    </row>
    <row r="3" spans="1:3" x14ac:dyDescent="0.3">
      <c r="A3" t="s">
        <v>147</v>
      </c>
      <c r="B3" s="2">
        <v>57931583333.333336</v>
      </c>
      <c r="C3" t="s">
        <v>146</v>
      </c>
    </row>
    <row r="4" spans="1:3" x14ac:dyDescent="0.3">
      <c r="A4" t="s">
        <v>151</v>
      </c>
      <c r="B4" s="2">
        <f>NG!B15*'NG 2016'!B16</f>
        <v>65541969812.528168</v>
      </c>
      <c r="C4" t="s">
        <v>146</v>
      </c>
    </row>
    <row r="5" spans="1:3" x14ac:dyDescent="0.3">
      <c r="A5" t="s">
        <v>19</v>
      </c>
      <c r="B5" s="2">
        <f>SUM(B2:B4)</f>
        <v>227326423791.3353</v>
      </c>
      <c r="C5" t="s">
        <v>146</v>
      </c>
    </row>
    <row r="6" spans="1:3" x14ac:dyDescent="0.3">
      <c r="A6" t="s">
        <v>153</v>
      </c>
      <c r="B6" s="2">
        <f>B5/1000</f>
        <v>227326423.79133528</v>
      </c>
      <c r="C6" t="s">
        <v>154</v>
      </c>
    </row>
    <row r="7" spans="1:3" x14ac:dyDescent="0.3">
      <c r="A7" t="s">
        <v>155</v>
      </c>
      <c r="B7" s="11">
        <f>B6/1000000</f>
        <v>227.32642379133529</v>
      </c>
    </row>
    <row r="8" spans="1:3" ht="28.8" x14ac:dyDescent="0.3">
      <c r="A8" s="36" t="s">
        <v>156</v>
      </c>
      <c r="B8" s="2">
        <f>B7*'Totals California'!F82</f>
        <v>1895.0625697968128</v>
      </c>
    </row>
    <row r="9" spans="1:3" x14ac:dyDescent="0.3">
      <c r="A9" t="s">
        <v>157</v>
      </c>
      <c r="B9" s="2">
        <v>6870</v>
      </c>
      <c r="C9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1" sqref="B21"/>
    </sheetView>
  </sheetViews>
  <sheetFormatPr defaultRowHeight="14.4" x14ac:dyDescent="0.3"/>
  <cols>
    <col min="1" max="1" width="27.109375" bestFit="1" customWidth="1"/>
    <col min="2" max="2" width="12" bestFit="1" customWidth="1"/>
  </cols>
  <sheetData>
    <row r="1" spans="1:2" x14ac:dyDescent="0.3">
      <c r="A1" s="4" t="s">
        <v>37</v>
      </c>
    </row>
    <row r="2" spans="1:2" x14ac:dyDescent="0.3">
      <c r="A2" t="s">
        <v>42</v>
      </c>
      <c r="B2">
        <v>195.2</v>
      </c>
    </row>
    <row r="3" spans="1:2" x14ac:dyDescent="0.3">
      <c r="A3" t="s">
        <v>38</v>
      </c>
      <c r="B3">
        <v>31.7</v>
      </c>
    </row>
    <row r="4" spans="1:2" x14ac:dyDescent="0.3">
      <c r="A4" t="s">
        <v>39</v>
      </c>
      <c r="B4">
        <v>1.3</v>
      </c>
    </row>
    <row r="5" spans="1:2" x14ac:dyDescent="0.3">
      <c r="A5" t="s">
        <v>40</v>
      </c>
      <c r="B5">
        <v>25.2</v>
      </c>
    </row>
    <row r="6" spans="1:2" x14ac:dyDescent="0.3">
      <c r="A6" t="s">
        <v>41</v>
      </c>
      <c r="B6">
        <v>29.83</v>
      </c>
    </row>
    <row r="7" spans="1:2" x14ac:dyDescent="0.3">
      <c r="A7" t="s">
        <v>43</v>
      </c>
      <c r="B7" s="11">
        <f>(B2/B6)*1000</f>
        <v>6543.7479047938314</v>
      </c>
    </row>
    <row r="8" spans="1:2" x14ac:dyDescent="0.3">
      <c r="A8" t="s">
        <v>44</v>
      </c>
      <c r="B8" s="2">
        <f>9700*4400</f>
        <v>42680000</v>
      </c>
    </row>
    <row r="9" spans="1:2" x14ac:dyDescent="0.3">
      <c r="A9" t="s">
        <v>45</v>
      </c>
      <c r="B9" s="14">
        <f>B8*365/1000000000</f>
        <v>15.578200000000001</v>
      </c>
    </row>
    <row r="10" spans="1:2" x14ac:dyDescent="0.3">
      <c r="A10" t="s">
        <v>46</v>
      </c>
      <c r="B10" s="14">
        <f>B2/B9</f>
        <v>12.530330846952792</v>
      </c>
    </row>
    <row r="11" spans="1:2" x14ac:dyDescent="0.3">
      <c r="A11" t="s">
        <v>143</v>
      </c>
      <c r="B11">
        <f>B2/365</f>
        <v>0.53479452054794518</v>
      </c>
    </row>
    <row r="12" spans="1:2" x14ac:dyDescent="0.3">
      <c r="A12" t="s">
        <v>47</v>
      </c>
      <c r="B12">
        <v>0.25</v>
      </c>
    </row>
    <row r="13" spans="1:2" x14ac:dyDescent="0.3">
      <c r="A13" t="s">
        <v>48</v>
      </c>
      <c r="B13" s="2">
        <f>B2*B12*1000</f>
        <v>48800</v>
      </c>
    </row>
    <row r="14" spans="1:2" x14ac:dyDescent="0.3">
      <c r="A14" t="s">
        <v>80</v>
      </c>
      <c r="B14">
        <v>300</v>
      </c>
    </row>
    <row r="15" spans="1:2" x14ac:dyDescent="0.3">
      <c r="A15" t="s">
        <v>81</v>
      </c>
      <c r="B15">
        <f>B12*B14</f>
        <v>75</v>
      </c>
    </row>
    <row r="16" spans="1:2" x14ac:dyDescent="0.3">
      <c r="A16" t="s">
        <v>82</v>
      </c>
      <c r="B16" s="11">
        <f>B6*B15</f>
        <v>2237.25</v>
      </c>
    </row>
    <row r="17" spans="1:2" x14ac:dyDescent="0.3">
      <c r="A17" t="s">
        <v>83</v>
      </c>
      <c r="B17" s="6">
        <f>B16/'Totals California'!F48</f>
        <v>2.7857157027827144</v>
      </c>
    </row>
    <row r="18" spans="1:2" x14ac:dyDescent="0.3">
      <c r="A18" t="s">
        <v>89</v>
      </c>
      <c r="B18" s="9">
        <v>4</v>
      </c>
    </row>
    <row r="19" spans="1:2" x14ac:dyDescent="0.3">
      <c r="A19" t="s">
        <v>88</v>
      </c>
      <c r="B19" s="9">
        <f>B8/'Totals California'!B68*EV!B18</f>
        <v>4.3154701718907988</v>
      </c>
    </row>
    <row r="20" spans="1:2" x14ac:dyDescent="0.3">
      <c r="A20" t="s">
        <v>138</v>
      </c>
      <c r="B20" s="5">
        <f>B19/'Totals California'!F70</f>
        <v>1.1500081450008068</v>
      </c>
    </row>
    <row r="21" spans="1:2" x14ac:dyDescent="0.3">
      <c r="A21" t="s">
        <v>166</v>
      </c>
      <c r="B21" s="5">
        <f>B12/(1/30)</f>
        <v>7.5</v>
      </c>
    </row>
    <row r="22" spans="1:2" x14ac:dyDescent="0.3">
      <c r="A22" t="s">
        <v>165</v>
      </c>
      <c r="B22" s="2">
        <f>B9*B21*1000</f>
        <v>116836.5</v>
      </c>
    </row>
    <row r="23" spans="1:2" x14ac:dyDescent="0.3">
      <c r="A23" t="s">
        <v>167</v>
      </c>
      <c r="B23" s="16">
        <f>B13/B22</f>
        <v>0.41767769489842643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6" sqref="B16"/>
    </sheetView>
  </sheetViews>
  <sheetFormatPr defaultRowHeight="14.4" x14ac:dyDescent="0.3"/>
  <cols>
    <col min="1" max="1" width="22" bestFit="1" customWidth="1"/>
    <col min="3" max="3" width="12" bestFit="1" customWidth="1"/>
  </cols>
  <sheetData>
    <row r="1" spans="1:4" x14ac:dyDescent="0.3">
      <c r="A1" s="4" t="s">
        <v>51</v>
      </c>
      <c r="B1">
        <v>2012</v>
      </c>
      <c r="C1" t="s">
        <v>59</v>
      </c>
      <c r="D1">
        <v>2016</v>
      </c>
    </row>
    <row r="2" spans="1:4" x14ac:dyDescent="0.3">
      <c r="A2" t="s">
        <v>52</v>
      </c>
      <c r="B2" s="3">
        <v>0.9</v>
      </c>
    </row>
    <row r="3" spans="1:4" x14ac:dyDescent="0.3">
      <c r="A3" t="s">
        <v>53</v>
      </c>
      <c r="B3">
        <v>485</v>
      </c>
      <c r="C3">
        <v>485</v>
      </c>
    </row>
    <row r="4" spans="1:4" x14ac:dyDescent="0.3">
      <c r="A4" t="s">
        <v>54</v>
      </c>
      <c r="B4">
        <v>201</v>
      </c>
      <c r="C4">
        <v>200</v>
      </c>
    </row>
    <row r="5" spans="1:4" x14ac:dyDescent="0.3">
      <c r="A5" t="s">
        <v>55</v>
      </c>
      <c r="B5">
        <v>577</v>
      </c>
      <c r="C5">
        <v>577</v>
      </c>
    </row>
    <row r="6" spans="1:4" x14ac:dyDescent="0.3">
      <c r="A6" t="s">
        <v>56</v>
      </c>
      <c r="B6">
        <v>17</v>
      </c>
      <c r="C6">
        <v>0</v>
      </c>
    </row>
    <row r="7" spans="1:4" x14ac:dyDescent="0.3">
      <c r="A7" t="s">
        <v>57</v>
      </c>
      <c r="B7">
        <v>1032</v>
      </c>
      <c r="C7">
        <v>0</v>
      </c>
    </row>
    <row r="8" spans="1:4" x14ac:dyDescent="0.3">
      <c r="A8" t="s">
        <v>19</v>
      </c>
      <c r="B8">
        <f>SUM(B3:B7)</f>
        <v>2312</v>
      </c>
      <c r="C8">
        <f>SUM(C3:C7)</f>
        <v>1262</v>
      </c>
    </row>
    <row r="9" spans="1:4" x14ac:dyDescent="0.3">
      <c r="A9" t="s">
        <v>58</v>
      </c>
      <c r="B9" s="2">
        <v>98831</v>
      </c>
    </row>
    <row r="10" spans="1:4" x14ac:dyDescent="0.3">
      <c r="A10" t="s">
        <v>61</v>
      </c>
      <c r="B10">
        <f>(B9/B7)</f>
        <v>95.766472868217051</v>
      </c>
    </row>
    <row r="11" spans="1:4" x14ac:dyDescent="0.3">
      <c r="A11" t="s">
        <v>60</v>
      </c>
      <c r="C11" s="2">
        <f>C8*B10</f>
        <v>120857.28875968992</v>
      </c>
      <c r="D11" s="2">
        <f>'NG 2016'!$D$16</f>
        <v>113812.7834426902</v>
      </c>
    </row>
    <row r="12" spans="1:4" x14ac:dyDescent="0.3">
      <c r="A12" t="s">
        <v>148</v>
      </c>
      <c r="B12">
        <v>117</v>
      </c>
    </row>
    <row r="13" spans="1:4" x14ac:dyDescent="0.3">
      <c r="A13" t="s">
        <v>149</v>
      </c>
      <c r="B13">
        <f>B12/2.2</f>
        <v>53.18181818181818</v>
      </c>
    </row>
    <row r="14" spans="1:4" x14ac:dyDescent="0.3">
      <c r="A14" t="s">
        <v>152</v>
      </c>
      <c r="B14">
        <v>11.7</v>
      </c>
    </row>
    <row r="15" spans="1:4" x14ac:dyDescent="0.3">
      <c r="A15" t="s">
        <v>150</v>
      </c>
      <c r="B15" s="2">
        <f>B14/2.2</f>
        <v>5.3181818181818175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5" sqref="C15"/>
    </sheetView>
  </sheetViews>
  <sheetFormatPr defaultRowHeight="14.4" x14ac:dyDescent="0.3"/>
  <cols>
    <col min="2" max="2" width="16.88671875" bestFit="1" customWidth="1"/>
    <col min="3" max="3" width="12" bestFit="1" customWidth="1"/>
    <col min="4" max="4" width="9.44140625" bestFit="1" customWidth="1"/>
  </cols>
  <sheetData>
    <row r="1" spans="1:4" x14ac:dyDescent="0.3">
      <c r="A1" s="4" t="s">
        <v>102</v>
      </c>
    </row>
    <row r="3" spans="1:4" x14ac:dyDescent="0.3">
      <c r="A3" s="19" t="s">
        <v>99</v>
      </c>
      <c r="B3" s="19" t="s">
        <v>100</v>
      </c>
      <c r="C3" t="s">
        <v>101</v>
      </c>
      <c r="D3" t="s">
        <v>103</v>
      </c>
    </row>
    <row r="4" spans="1:4" x14ac:dyDescent="0.3">
      <c r="A4" s="20">
        <v>1</v>
      </c>
      <c r="B4" s="21">
        <v>1665086864.1199999</v>
      </c>
      <c r="C4" s="14">
        <f>((B4*100)/(1.037))/1000000000</f>
        <v>160.56768217164898</v>
      </c>
      <c r="D4" s="2">
        <f>C4*NG!$B$10</f>
        <v>15377.000578203721</v>
      </c>
    </row>
    <row r="5" spans="1:4" x14ac:dyDescent="0.3">
      <c r="A5" s="20">
        <v>2</v>
      </c>
      <c r="B5" s="21">
        <v>1315042770.25</v>
      </c>
      <c r="C5" s="14">
        <f t="shared" ref="C5:C15" si="0">((B5*100)/(1.037))/1000000000</f>
        <v>126.81222471070396</v>
      </c>
      <c r="D5" s="2">
        <f>C5*NG!$B$10</f>
        <v>12144.359477115875</v>
      </c>
    </row>
    <row r="6" spans="1:4" x14ac:dyDescent="0.3">
      <c r="A6" s="20">
        <v>3</v>
      </c>
      <c r="B6" s="21">
        <v>998498668.72000003</v>
      </c>
      <c r="C6" s="14">
        <f t="shared" si="0"/>
        <v>96.287239027965285</v>
      </c>
      <c r="D6" s="2">
        <f>C6*NG!$B$10</f>
        <v>9221.0892639271678</v>
      </c>
    </row>
    <row r="7" spans="1:4" x14ac:dyDescent="0.3">
      <c r="A7" s="20">
        <v>4</v>
      </c>
      <c r="B7" s="21">
        <v>955239483.89999998</v>
      </c>
      <c r="C7" s="14">
        <f t="shared" si="0"/>
        <v>92.1156686499518</v>
      </c>
      <c r="D7" s="2">
        <f>C7*NG!$B$10</f>
        <v>8821.5926825032802</v>
      </c>
    </row>
    <row r="8" spans="1:4" x14ac:dyDescent="0.3">
      <c r="A8" s="20">
        <v>5</v>
      </c>
      <c r="B8" s="21">
        <v>870356342.98000002</v>
      </c>
      <c r="C8" s="14">
        <f t="shared" si="0"/>
        <v>83.930216295081976</v>
      </c>
      <c r="D8" s="2">
        <f>C8*NG!$B$10</f>
        <v>8037.7007816465566</v>
      </c>
    </row>
    <row r="9" spans="1:4" x14ac:dyDescent="0.3">
      <c r="A9" s="20">
        <v>6</v>
      </c>
      <c r="B9" s="21">
        <v>854728432.01999998</v>
      </c>
      <c r="C9" s="14">
        <f t="shared" si="0"/>
        <v>82.423185344262293</v>
      </c>
      <c r="D9" s="2">
        <f>C9*NG!$B$10</f>
        <v>7893.3777429833199</v>
      </c>
    </row>
    <row r="10" spans="1:4" x14ac:dyDescent="0.3">
      <c r="A10" s="20">
        <v>7</v>
      </c>
      <c r="B10" s="21">
        <v>851323076.38</v>
      </c>
      <c r="C10" s="14">
        <f t="shared" si="0"/>
        <v>82.094800036644159</v>
      </c>
      <c r="D10" s="2">
        <f>C10*NG!$B$10</f>
        <v>7861.9294403309868</v>
      </c>
    </row>
    <row r="11" spans="1:4" x14ac:dyDescent="0.3">
      <c r="A11" s="20">
        <v>8</v>
      </c>
      <c r="B11" s="21">
        <v>873839979.62</v>
      </c>
      <c r="C11" s="14">
        <f t="shared" si="0"/>
        <v>84.26615039729991</v>
      </c>
      <c r="D11" s="2">
        <f>C11*NG!$B$10</f>
        <v>8069.8720057321189</v>
      </c>
    </row>
    <row r="12" spans="1:4" x14ac:dyDescent="0.3">
      <c r="A12" s="20">
        <v>9</v>
      </c>
      <c r="B12" s="21">
        <v>926664739.50999999</v>
      </c>
      <c r="C12" s="14">
        <f t="shared" si="0"/>
        <v>89.36014845805208</v>
      </c>
      <c r="D12" s="2">
        <f>C12*NG!$B$10</f>
        <v>8557.7062328078919</v>
      </c>
    </row>
    <row r="13" spans="1:4" x14ac:dyDescent="0.3">
      <c r="A13" s="20">
        <v>10</v>
      </c>
      <c r="B13" s="21">
        <v>884632623.98000002</v>
      </c>
      <c r="C13" s="14">
        <f t="shared" si="0"/>
        <v>85.306906844744461</v>
      </c>
      <c r="D13" s="2">
        <f>C13*NG!$B$10</f>
        <v>8169.5415798187396</v>
      </c>
    </row>
    <row r="14" spans="1:4" x14ac:dyDescent="0.3">
      <c r="A14" s="20">
        <v>11</v>
      </c>
      <c r="B14" s="21">
        <v>910326247.88999999</v>
      </c>
      <c r="C14" s="14">
        <f t="shared" si="0"/>
        <v>87.78459478206365</v>
      </c>
      <c r="D14" s="2">
        <f>C14*NG!$B$10</f>
        <v>8406.8210144439272</v>
      </c>
    </row>
    <row r="15" spans="1:4" x14ac:dyDescent="0.3">
      <c r="A15" s="20">
        <v>12</v>
      </c>
      <c r="B15" s="21">
        <v>1218391846.49</v>
      </c>
      <c r="C15" s="14">
        <f t="shared" si="0"/>
        <v>117.4919813394407</v>
      </c>
      <c r="D15" s="2">
        <f>C15*NG!$B$10</f>
        <v>11251.792643176612</v>
      </c>
    </row>
    <row r="16" spans="1:4" x14ac:dyDescent="0.3">
      <c r="B16" s="2">
        <f>SUM(B4:B15)</f>
        <v>12324131075.859999</v>
      </c>
      <c r="C16" s="14">
        <f>SUM(C4:C15)</f>
        <v>1188.4407980578592</v>
      </c>
      <c r="D16" s="2">
        <f>C16*NG!$B$10</f>
        <v>113812.7834426902</v>
      </c>
    </row>
    <row r="17" spans="2:3" x14ac:dyDescent="0.3">
      <c r="B17" s="22">
        <v>1.0369999999999999</v>
      </c>
      <c r="C17">
        <f>(B17*100)/(1.037)</f>
        <v>100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" sqref="M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97" workbookViewId="0">
      <selection activeCell="E109" sqref="E109"/>
    </sheetView>
  </sheetViews>
  <sheetFormatPr defaultRowHeight="14.4" x14ac:dyDescent="0.3"/>
  <cols>
    <col min="1" max="1" width="6" customWidth="1"/>
    <col min="2" max="2" width="6.88671875" bestFit="1" customWidth="1"/>
    <col min="3" max="3" width="15.33203125" bestFit="1" customWidth="1"/>
    <col min="4" max="4" width="15.5546875" bestFit="1" customWidth="1"/>
    <col min="5" max="5" width="11.109375" bestFit="1" customWidth="1"/>
  </cols>
  <sheetData>
    <row r="1" spans="1:4" x14ac:dyDescent="0.3">
      <c r="A1" s="4" t="s">
        <v>104</v>
      </c>
      <c r="B1" s="4" t="s">
        <v>99</v>
      </c>
      <c r="C1" s="4" t="s">
        <v>105</v>
      </c>
    </row>
    <row r="2" spans="1:4" x14ac:dyDescent="0.3">
      <c r="A2">
        <v>2008</v>
      </c>
      <c r="B2">
        <v>1</v>
      </c>
      <c r="C2" s="22">
        <v>21721853812.080002</v>
      </c>
    </row>
    <row r="3" spans="1:4" x14ac:dyDescent="0.3">
      <c r="A3">
        <v>2008</v>
      </c>
      <c r="B3">
        <v>2</v>
      </c>
      <c r="C3" s="22">
        <v>20107252534.330002</v>
      </c>
    </row>
    <row r="4" spans="1:4" x14ac:dyDescent="0.3">
      <c r="A4">
        <v>2008</v>
      </c>
      <c r="B4">
        <v>3</v>
      </c>
      <c r="C4" s="22">
        <v>19254826658.400002</v>
      </c>
    </row>
    <row r="5" spans="1:4" x14ac:dyDescent="0.3">
      <c r="A5">
        <v>2008</v>
      </c>
      <c r="B5">
        <v>4</v>
      </c>
      <c r="C5" s="22">
        <v>19424291153.32</v>
      </c>
    </row>
    <row r="6" spans="1:4" x14ac:dyDescent="0.3">
      <c r="A6">
        <v>2008</v>
      </c>
      <c r="B6">
        <v>5</v>
      </c>
      <c r="C6" s="22">
        <v>20900455964.240002</v>
      </c>
    </row>
    <row r="7" spans="1:4" x14ac:dyDescent="0.3">
      <c r="A7">
        <v>2008</v>
      </c>
      <c r="B7">
        <v>6</v>
      </c>
      <c r="C7" s="22">
        <v>21386452220.580002</v>
      </c>
    </row>
    <row r="8" spans="1:4" x14ac:dyDescent="0.3">
      <c r="A8">
        <v>2008</v>
      </c>
      <c r="B8">
        <v>7</v>
      </c>
      <c r="C8" s="22">
        <v>25399506631.849998</v>
      </c>
    </row>
    <row r="9" spans="1:4" x14ac:dyDescent="0.3">
      <c r="A9">
        <v>2008</v>
      </c>
      <c r="B9">
        <v>8</v>
      </c>
      <c r="C9" s="22">
        <v>24132275633.59</v>
      </c>
    </row>
    <row r="10" spans="1:4" x14ac:dyDescent="0.3">
      <c r="A10">
        <v>2008</v>
      </c>
      <c r="B10">
        <v>9</v>
      </c>
      <c r="C10" s="22">
        <v>24812109957.98</v>
      </c>
    </row>
    <row r="11" spans="1:4" x14ac:dyDescent="0.3">
      <c r="A11">
        <v>2008</v>
      </c>
      <c r="B11">
        <v>10</v>
      </c>
      <c r="C11" s="22">
        <v>22995349309.349998</v>
      </c>
    </row>
    <row r="12" spans="1:4" x14ac:dyDescent="0.3">
      <c r="A12">
        <v>2008</v>
      </c>
      <c r="B12">
        <v>11</v>
      </c>
      <c r="C12" s="22">
        <v>20210474713.299999</v>
      </c>
    </row>
    <row r="13" spans="1:4" x14ac:dyDescent="0.3">
      <c r="A13">
        <v>2008</v>
      </c>
      <c r="B13">
        <v>12</v>
      </c>
      <c r="C13" s="22">
        <v>20742553446.560001</v>
      </c>
      <c r="D13" s="23">
        <f>SUM(C2:C13)</f>
        <v>261087402035.58002</v>
      </c>
    </row>
    <row r="14" spans="1:4" x14ac:dyDescent="0.3">
      <c r="A14">
        <v>2009</v>
      </c>
      <c r="B14">
        <v>1</v>
      </c>
      <c r="C14" s="22">
        <v>21276176745.220001</v>
      </c>
    </row>
    <row r="15" spans="1:4" x14ac:dyDescent="0.3">
      <c r="A15">
        <v>2009</v>
      </c>
      <c r="B15">
        <v>2</v>
      </c>
      <c r="C15" s="22">
        <v>19977310404.669998</v>
      </c>
    </row>
    <row r="16" spans="1:4" x14ac:dyDescent="0.3">
      <c r="A16">
        <v>2009</v>
      </c>
      <c r="B16">
        <v>3</v>
      </c>
      <c r="C16" s="22">
        <v>19612957369.939999</v>
      </c>
    </row>
    <row r="17" spans="1:4" x14ac:dyDescent="0.3">
      <c r="A17">
        <v>2009</v>
      </c>
      <c r="B17">
        <v>4</v>
      </c>
      <c r="C17" s="22">
        <v>20175911860.43</v>
      </c>
    </row>
    <row r="18" spans="1:4" x14ac:dyDescent="0.3">
      <c r="A18">
        <v>2009</v>
      </c>
      <c r="B18">
        <v>5</v>
      </c>
      <c r="C18" s="22">
        <v>20673146621.080002</v>
      </c>
    </row>
    <row r="19" spans="1:4" x14ac:dyDescent="0.3">
      <c r="A19">
        <v>2009</v>
      </c>
      <c r="B19">
        <v>6</v>
      </c>
      <c r="C19" s="22">
        <v>21736288588.810001</v>
      </c>
    </row>
    <row r="20" spans="1:4" x14ac:dyDescent="0.3">
      <c r="A20">
        <v>2009</v>
      </c>
      <c r="B20">
        <v>7</v>
      </c>
      <c r="C20" s="22">
        <v>24810922604.529999</v>
      </c>
    </row>
    <row r="21" spans="1:4" x14ac:dyDescent="0.3">
      <c r="A21">
        <v>2009</v>
      </c>
      <c r="B21">
        <v>8</v>
      </c>
      <c r="C21" s="22">
        <v>24883912511.939999</v>
      </c>
    </row>
    <row r="22" spans="1:4" x14ac:dyDescent="0.3">
      <c r="A22">
        <v>2009</v>
      </c>
      <c r="B22">
        <v>9</v>
      </c>
      <c r="C22" s="22">
        <v>25252914266.970001</v>
      </c>
    </row>
    <row r="23" spans="1:4" x14ac:dyDescent="0.3">
      <c r="A23">
        <v>2009</v>
      </c>
      <c r="B23">
        <v>10</v>
      </c>
      <c r="C23" s="22">
        <v>23637145925.950001</v>
      </c>
    </row>
    <row r="24" spans="1:4" x14ac:dyDescent="0.3">
      <c r="A24">
        <v>2009</v>
      </c>
      <c r="B24">
        <v>11</v>
      </c>
      <c r="C24" s="22">
        <v>20446601408.189999</v>
      </c>
    </row>
    <row r="25" spans="1:4" x14ac:dyDescent="0.3">
      <c r="A25">
        <v>2009</v>
      </c>
      <c r="B25">
        <v>12</v>
      </c>
      <c r="C25" s="22">
        <v>21389364435.580002</v>
      </c>
      <c r="D25" s="23">
        <f>SUM(C14:C25)</f>
        <v>263872652743.31</v>
      </c>
    </row>
    <row r="26" spans="1:4" x14ac:dyDescent="0.3">
      <c r="A26">
        <v>2010</v>
      </c>
      <c r="B26">
        <v>1</v>
      </c>
      <c r="C26" s="22">
        <v>20670200366.900002</v>
      </c>
    </row>
    <row r="27" spans="1:4" x14ac:dyDescent="0.3">
      <c r="A27">
        <v>2010</v>
      </c>
      <c r="B27">
        <v>2</v>
      </c>
      <c r="C27" s="22">
        <v>19587658181.02</v>
      </c>
    </row>
    <row r="28" spans="1:4" x14ac:dyDescent="0.3">
      <c r="A28">
        <v>2010</v>
      </c>
      <c r="B28">
        <v>3</v>
      </c>
      <c r="C28" s="22">
        <v>19780746682.630001</v>
      </c>
    </row>
    <row r="29" spans="1:4" x14ac:dyDescent="0.3">
      <c r="A29">
        <v>2010</v>
      </c>
      <c r="B29">
        <v>4</v>
      </c>
      <c r="C29" s="22">
        <v>19855730918.91</v>
      </c>
    </row>
    <row r="30" spans="1:4" x14ac:dyDescent="0.3">
      <c r="A30">
        <v>2010</v>
      </c>
      <c r="B30">
        <v>5</v>
      </c>
      <c r="C30" s="22">
        <v>19411609916.150002</v>
      </c>
    </row>
    <row r="31" spans="1:4" x14ac:dyDescent="0.3">
      <c r="A31">
        <v>2010</v>
      </c>
      <c r="B31">
        <v>6</v>
      </c>
      <c r="C31" s="22">
        <v>21306897475.049999</v>
      </c>
    </row>
    <row r="32" spans="1:4" x14ac:dyDescent="0.3">
      <c r="A32">
        <v>2010</v>
      </c>
      <c r="B32">
        <v>7</v>
      </c>
      <c r="C32" s="22">
        <v>24088655582.299999</v>
      </c>
    </row>
    <row r="33" spans="1:4" x14ac:dyDescent="0.3">
      <c r="A33">
        <v>2010</v>
      </c>
      <c r="B33">
        <v>8</v>
      </c>
      <c r="C33" s="22">
        <v>24085604451.110001</v>
      </c>
    </row>
    <row r="34" spans="1:4" x14ac:dyDescent="0.3">
      <c r="A34">
        <v>2010</v>
      </c>
      <c r="B34">
        <v>9</v>
      </c>
      <c r="C34" s="22">
        <v>24156146969.689999</v>
      </c>
    </row>
    <row r="35" spans="1:4" x14ac:dyDescent="0.3">
      <c r="A35">
        <v>2010</v>
      </c>
      <c r="B35">
        <v>10</v>
      </c>
      <c r="C35" s="22">
        <v>23043879926.139999</v>
      </c>
    </row>
    <row r="36" spans="1:4" x14ac:dyDescent="0.3">
      <c r="A36">
        <v>2010</v>
      </c>
      <c r="B36">
        <v>11</v>
      </c>
      <c r="C36" s="22">
        <v>21055461781.950001</v>
      </c>
    </row>
    <row r="37" spans="1:4" x14ac:dyDescent="0.3">
      <c r="A37">
        <v>2010</v>
      </c>
      <c r="B37">
        <v>12</v>
      </c>
      <c r="C37" s="22">
        <v>21813721656.73</v>
      </c>
      <c r="D37" s="23">
        <f>SUM(C26:C37)</f>
        <v>258856313908.58005</v>
      </c>
    </row>
    <row r="38" spans="1:4" x14ac:dyDescent="0.3">
      <c r="A38">
        <v>2011</v>
      </c>
      <c r="B38">
        <v>1</v>
      </c>
      <c r="C38" s="22">
        <v>20679314321.48</v>
      </c>
    </row>
    <row r="39" spans="1:4" x14ac:dyDescent="0.3">
      <c r="A39">
        <v>2011</v>
      </c>
      <c r="B39">
        <v>2</v>
      </c>
      <c r="C39" s="22">
        <v>19337262906.259998</v>
      </c>
    </row>
    <row r="40" spans="1:4" x14ac:dyDescent="0.3">
      <c r="A40">
        <v>2011</v>
      </c>
      <c r="B40">
        <v>3</v>
      </c>
      <c r="C40" s="22">
        <v>20353101188.959999</v>
      </c>
    </row>
    <row r="41" spans="1:4" x14ac:dyDescent="0.3">
      <c r="A41">
        <v>2011</v>
      </c>
      <c r="B41">
        <v>4</v>
      </c>
      <c r="C41" s="22">
        <v>19858357206.240002</v>
      </c>
    </row>
    <row r="42" spans="1:4" x14ac:dyDescent="0.3">
      <c r="A42">
        <v>2011</v>
      </c>
      <c r="B42">
        <v>5</v>
      </c>
      <c r="C42" s="22">
        <v>19688341456.860001</v>
      </c>
    </row>
    <row r="43" spans="1:4" x14ac:dyDescent="0.3">
      <c r="A43">
        <v>2011</v>
      </c>
      <c r="B43">
        <v>6</v>
      </c>
      <c r="C43" s="22">
        <v>21144318461.32</v>
      </c>
    </row>
    <row r="44" spans="1:4" x14ac:dyDescent="0.3">
      <c r="A44">
        <v>2011</v>
      </c>
      <c r="B44">
        <v>7</v>
      </c>
      <c r="C44" s="22">
        <v>23872558626.43</v>
      </c>
    </row>
    <row r="45" spans="1:4" x14ac:dyDescent="0.3">
      <c r="A45">
        <v>2011</v>
      </c>
      <c r="B45">
        <v>8</v>
      </c>
      <c r="C45" s="22">
        <v>24894520728.790001</v>
      </c>
    </row>
    <row r="46" spans="1:4" x14ac:dyDescent="0.3">
      <c r="A46">
        <v>2011</v>
      </c>
      <c r="B46">
        <v>9</v>
      </c>
      <c r="C46" s="22">
        <v>24966098113.900002</v>
      </c>
    </row>
    <row r="47" spans="1:4" x14ac:dyDescent="0.3">
      <c r="A47">
        <v>2011</v>
      </c>
      <c r="B47">
        <v>10</v>
      </c>
      <c r="C47" s="22">
        <v>22760101834.09</v>
      </c>
    </row>
    <row r="48" spans="1:4" x14ac:dyDescent="0.3">
      <c r="A48">
        <v>2011</v>
      </c>
      <c r="B48">
        <v>11</v>
      </c>
      <c r="C48" s="22">
        <v>21007182107.369999</v>
      </c>
    </row>
    <row r="49" spans="1:4" x14ac:dyDescent="0.3">
      <c r="A49">
        <v>2011</v>
      </c>
      <c r="B49">
        <v>12</v>
      </c>
      <c r="C49" s="22">
        <v>20874776334.18</v>
      </c>
      <c r="D49" s="23">
        <f>SUM(C38:C49)</f>
        <v>259435933285.87997</v>
      </c>
    </row>
    <row r="50" spans="1:4" x14ac:dyDescent="0.3">
      <c r="A50">
        <v>2012</v>
      </c>
      <c r="B50">
        <v>1</v>
      </c>
      <c r="C50" s="22">
        <v>21122009378.060001</v>
      </c>
    </row>
    <row r="51" spans="1:4" x14ac:dyDescent="0.3">
      <c r="A51">
        <v>2012</v>
      </c>
      <c r="B51">
        <v>2</v>
      </c>
      <c r="C51" s="22">
        <v>20126699157.029999</v>
      </c>
    </row>
    <row r="52" spans="1:4" x14ac:dyDescent="0.3">
      <c r="A52">
        <v>2012</v>
      </c>
      <c r="B52">
        <v>3</v>
      </c>
      <c r="C52" s="22">
        <v>19572708093.130001</v>
      </c>
    </row>
    <row r="53" spans="1:4" x14ac:dyDescent="0.3">
      <c r="A53">
        <v>2012</v>
      </c>
      <c r="B53">
        <v>4</v>
      </c>
      <c r="C53" s="22">
        <v>19317645474.860001</v>
      </c>
    </row>
    <row r="54" spans="1:4" x14ac:dyDescent="0.3">
      <c r="A54">
        <v>2012</v>
      </c>
      <c r="B54">
        <v>5</v>
      </c>
      <c r="C54" s="22">
        <v>21040620417.900002</v>
      </c>
    </row>
    <row r="55" spans="1:4" x14ac:dyDescent="0.3">
      <c r="A55">
        <v>2012</v>
      </c>
      <c r="B55">
        <v>6</v>
      </c>
      <c r="C55" s="22">
        <v>22312287566.150002</v>
      </c>
    </row>
    <row r="56" spans="1:4" x14ac:dyDescent="0.3">
      <c r="A56">
        <v>2012</v>
      </c>
      <c r="B56">
        <v>7</v>
      </c>
      <c r="C56" s="22">
        <v>24112409189.150002</v>
      </c>
    </row>
    <row r="57" spans="1:4" x14ac:dyDescent="0.3">
      <c r="A57">
        <v>2012</v>
      </c>
      <c r="B57">
        <v>8</v>
      </c>
      <c r="C57" s="22">
        <v>25869276218.959999</v>
      </c>
    </row>
    <row r="58" spans="1:4" x14ac:dyDescent="0.3">
      <c r="A58">
        <v>2012</v>
      </c>
      <c r="B58">
        <v>9</v>
      </c>
      <c r="C58" s="22">
        <v>25632646660.610001</v>
      </c>
    </row>
    <row r="59" spans="1:4" x14ac:dyDescent="0.3">
      <c r="A59">
        <v>2012</v>
      </c>
      <c r="B59">
        <v>10</v>
      </c>
      <c r="C59" s="22">
        <v>24622916235.560001</v>
      </c>
    </row>
    <row r="60" spans="1:4" x14ac:dyDescent="0.3">
      <c r="A60">
        <v>2012</v>
      </c>
      <c r="B60">
        <v>11</v>
      </c>
      <c r="C60" s="22">
        <v>21616551466.970001</v>
      </c>
    </row>
    <row r="61" spans="1:4" x14ac:dyDescent="0.3">
      <c r="A61">
        <v>2012</v>
      </c>
      <c r="B61">
        <v>12</v>
      </c>
      <c r="C61" s="22">
        <v>20102347582.849998</v>
      </c>
      <c r="D61" s="23">
        <f>SUM(C50:C61)</f>
        <v>265448117441.22998</v>
      </c>
    </row>
    <row r="62" spans="1:4" x14ac:dyDescent="0.3">
      <c r="A62">
        <v>2013</v>
      </c>
      <c r="B62">
        <v>1</v>
      </c>
      <c r="C62" s="22">
        <v>21572172618.23</v>
      </c>
    </row>
    <row r="63" spans="1:4" x14ac:dyDescent="0.3">
      <c r="A63">
        <v>2013</v>
      </c>
      <c r="B63">
        <v>2</v>
      </c>
      <c r="C63" s="22">
        <v>20213708828.950001</v>
      </c>
    </row>
    <row r="64" spans="1:4" x14ac:dyDescent="0.3">
      <c r="A64">
        <v>2013</v>
      </c>
      <c r="B64">
        <v>3</v>
      </c>
      <c r="C64" s="22">
        <v>19712055110.880001</v>
      </c>
    </row>
    <row r="65" spans="1:4" x14ac:dyDescent="0.3">
      <c r="A65">
        <v>2013</v>
      </c>
      <c r="B65">
        <v>4</v>
      </c>
      <c r="C65" s="22">
        <v>18919569578.490002</v>
      </c>
    </row>
    <row r="66" spans="1:4" x14ac:dyDescent="0.3">
      <c r="A66">
        <v>2013</v>
      </c>
      <c r="B66">
        <v>5</v>
      </c>
      <c r="C66" s="22">
        <v>21372750231.470001</v>
      </c>
    </row>
    <row r="67" spans="1:4" x14ac:dyDescent="0.3">
      <c r="A67">
        <v>2013</v>
      </c>
      <c r="B67">
        <v>6</v>
      </c>
      <c r="C67" s="22">
        <v>22002658114.939999</v>
      </c>
    </row>
    <row r="68" spans="1:4" x14ac:dyDescent="0.3">
      <c r="A68">
        <v>2013</v>
      </c>
      <c r="B68">
        <v>7</v>
      </c>
      <c r="C68" s="22">
        <v>25802909611.150002</v>
      </c>
    </row>
    <row r="69" spans="1:4" x14ac:dyDescent="0.3">
      <c r="A69">
        <v>2013</v>
      </c>
      <c r="B69">
        <v>8</v>
      </c>
      <c r="C69" s="22">
        <v>24702669603.779999</v>
      </c>
    </row>
    <row r="70" spans="1:4" x14ac:dyDescent="0.3">
      <c r="A70">
        <v>2013</v>
      </c>
      <c r="B70">
        <v>9</v>
      </c>
      <c r="C70" s="22">
        <v>25206360221.82</v>
      </c>
    </row>
    <row r="71" spans="1:4" x14ac:dyDescent="0.3">
      <c r="A71">
        <v>2013</v>
      </c>
      <c r="B71">
        <v>10</v>
      </c>
      <c r="C71" s="22">
        <v>22603020238.259998</v>
      </c>
    </row>
    <row r="72" spans="1:4" x14ac:dyDescent="0.3">
      <c r="A72">
        <v>2013</v>
      </c>
      <c r="B72">
        <v>11</v>
      </c>
      <c r="C72" s="22">
        <v>20334288012.310001</v>
      </c>
    </row>
    <row r="73" spans="1:4" x14ac:dyDescent="0.3">
      <c r="A73">
        <v>2013</v>
      </c>
      <c r="B73">
        <v>12</v>
      </c>
      <c r="C73" s="22">
        <v>21223334296.119999</v>
      </c>
      <c r="D73" s="23">
        <f>SUM(C62:C73)</f>
        <v>263665496466.40002</v>
      </c>
    </row>
    <row r="74" spans="1:4" x14ac:dyDescent="0.3">
      <c r="A74">
        <v>2014</v>
      </c>
      <c r="B74">
        <v>1</v>
      </c>
      <c r="C74" s="22">
        <v>20725543096.369999</v>
      </c>
    </row>
    <row r="75" spans="1:4" x14ac:dyDescent="0.3">
      <c r="A75">
        <v>2014</v>
      </c>
      <c r="B75">
        <v>2</v>
      </c>
      <c r="C75" s="22">
        <v>19665255595.98</v>
      </c>
    </row>
    <row r="76" spans="1:4" x14ac:dyDescent="0.3">
      <c r="A76">
        <v>2014</v>
      </c>
      <c r="B76">
        <v>3</v>
      </c>
      <c r="C76" s="22">
        <v>19177559247.900002</v>
      </c>
    </row>
    <row r="77" spans="1:4" x14ac:dyDescent="0.3">
      <c r="A77">
        <v>2014</v>
      </c>
      <c r="B77">
        <v>4</v>
      </c>
      <c r="C77" s="22">
        <v>19718237817.41</v>
      </c>
    </row>
    <row r="78" spans="1:4" x14ac:dyDescent="0.3">
      <c r="A78">
        <v>2014</v>
      </c>
      <c r="B78">
        <v>5</v>
      </c>
      <c r="C78" s="22">
        <v>20610546455.130001</v>
      </c>
    </row>
    <row r="79" spans="1:4" x14ac:dyDescent="0.3">
      <c r="A79">
        <v>2014</v>
      </c>
      <c r="B79">
        <v>6</v>
      </c>
      <c r="C79" s="22">
        <v>22577957663</v>
      </c>
    </row>
    <row r="80" spans="1:4" x14ac:dyDescent="0.3">
      <c r="A80">
        <v>2014</v>
      </c>
      <c r="B80">
        <v>7</v>
      </c>
      <c r="C80" s="22">
        <v>24931633478.68</v>
      </c>
    </row>
    <row r="81" spans="1:4" x14ac:dyDescent="0.3">
      <c r="A81">
        <v>2014</v>
      </c>
      <c r="B81">
        <v>8</v>
      </c>
      <c r="C81" s="22">
        <v>25693407385.66</v>
      </c>
    </row>
    <row r="82" spans="1:4" x14ac:dyDescent="0.3">
      <c r="A82">
        <v>2014</v>
      </c>
      <c r="B82">
        <v>9</v>
      </c>
      <c r="C82" s="22">
        <v>25148499988.119999</v>
      </c>
    </row>
    <row r="83" spans="1:4" x14ac:dyDescent="0.3">
      <c r="A83">
        <v>2014</v>
      </c>
      <c r="B83">
        <v>10</v>
      </c>
      <c r="C83" s="22">
        <v>23977374682.130001</v>
      </c>
    </row>
    <row r="84" spans="1:4" x14ac:dyDescent="0.3">
      <c r="A84">
        <v>2014</v>
      </c>
      <c r="B84">
        <v>11</v>
      </c>
      <c r="C84" s="22">
        <v>20255886038.41</v>
      </c>
    </row>
    <row r="85" spans="1:4" x14ac:dyDescent="0.3">
      <c r="A85">
        <v>2014</v>
      </c>
      <c r="B85">
        <v>12</v>
      </c>
      <c r="C85" s="22">
        <v>20684082070.380001</v>
      </c>
      <c r="D85" s="23">
        <f>SUM(C74:C85)</f>
        <v>263165983519.17001</v>
      </c>
    </row>
    <row r="86" spans="1:4" x14ac:dyDescent="0.3">
      <c r="A86">
        <v>2015</v>
      </c>
      <c r="B86">
        <v>1</v>
      </c>
      <c r="C86" s="22">
        <v>20813079275.459999</v>
      </c>
    </row>
    <row r="87" spans="1:4" x14ac:dyDescent="0.3">
      <c r="A87">
        <v>2015</v>
      </c>
      <c r="B87">
        <v>2</v>
      </c>
      <c r="C87" s="22">
        <v>19047783947.450001</v>
      </c>
    </row>
    <row r="88" spans="1:4" x14ac:dyDescent="0.3">
      <c r="A88">
        <v>2015</v>
      </c>
      <c r="B88">
        <v>3</v>
      </c>
      <c r="C88" s="22">
        <v>19821826972.709999</v>
      </c>
    </row>
    <row r="89" spans="1:4" x14ac:dyDescent="0.3">
      <c r="A89">
        <v>2015</v>
      </c>
      <c r="B89">
        <v>4</v>
      </c>
      <c r="C89" s="22">
        <v>20053226724.450001</v>
      </c>
    </row>
    <row r="90" spans="1:4" x14ac:dyDescent="0.3">
      <c r="A90">
        <v>2015</v>
      </c>
      <c r="B90">
        <v>5</v>
      </c>
      <c r="C90" s="22">
        <v>19886061254.599998</v>
      </c>
    </row>
    <row r="91" spans="1:4" x14ac:dyDescent="0.3">
      <c r="A91">
        <v>2015</v>
      </c>
      <c r="B91">
        <v>6</v>
      </c>
      <c r="C91" s="22">
        <v>21377389600.360001</v>
      </c>
    </row>
    <row r="92" spans="1:4" x14ac:dyDescent="0.3">
      <c r="A92">
        <v>2015</v>
      </c>
      <c r="B92">
        <v>7</v>
      </c>
      <c r="C92" s="22">
        <v>24985904502.66</v>
      </c>
    </row>
    <row r="93" spans="1:4" x14ac:dyDescent="0.3">
      <c r="A93">
        <v>2015</v>
      </c>
      <c r="B93">
        <v>8</v>
      </c>
      <c r="C93" s="22">
        <v>24463293979.549999</v>
      </c>
    </row>
    <row r="94" spans="1:4" x14ac:dyDescent="0.3">
      <c r="A94">
        <v>2015</v>
      </c>
      <c r="B94">
        <v>9</v>
      </c>
      <c r="C94" s="22">
        <v>25501381520.470001</v>
      </c>
    </row>
    <row r="95" spans="1:4" x14ac:dyDescent="0.3">
      <c r="A95">
        <v>2015</v>
      </c>
      <c r="B95">
        <v>10</v>
      </c>
      <c r="C95" s="22">
        <v>24673303941.150002</v>
      </c>
    </row>
    <row r="96" spans="1:4" x14ac:dyDescent="0.3">
      <c r="A96">
        <v>2015</v>
      </c>
      <c r="B96">
        <v>11</v>
      </c>
      <c r="C96" s="22">
        <v>21616987688.349998</v>
      </c>
    </row>
    <row r="97" spans="1:5" x14ac:dyDescent="0.3">
      <c r="A97">
        <v>2015</v>
      </c>
      <c r="B97">
        <v>12</v>
      </c>
      <c r="C97" s="22">
        <v>19769213408.099998</v>
      </c>
      <c r="D97" s="23">
        <f>SUM(C86:C97)</f>
        <v>262009452815.31</v>
      </c>
    </row>
    <row r="98" spans="1:5" x14ac:dyDescent="0.3">
      <c r="A98">
        <v>2016</v>
      </c>
      <c r="B98">
        <v>1</v>
      </c>
      <c r="C98" s="22">
        <v>20772266742.919998</v>
      </c>
    </row>
    <row r="99" spans="1:5" x14ac:dyDescent="0.3">
      <c r="A99">
        <v>2016</v>
      </c>
      <c r="B99">
        <v>2</v>
      </c>
      <c r="C99" s="22">
        <v>19034937314.869999</v>
      </c>
    </row>
    <row r="100" spans="1:5" x14ac:dyDescent="0.3">
      <c r="A100">
        <v>2016</v>
      </c>
      <c r="B100">
        <v>3</v>
      </c>
      <c r="C100" s="22">
        <v>19717198662.880001</v>
      </c>
    </row>
    <row r="101" spans="1:5" x14ac:dyDescent="0.3">
      <c r="A101">
        <v>2016</v>
      </c>
      <c r="B101">
        <v>4</v>
      </c>
      <c r="C101" s="22">
        <v>19377327117.240002</v>
      </c>
    </row>
    <row r="102" spans="1:5" x14ac:dyDescent="0.3">
      <c r="A102">
        <v>2016</v>
      </c>
      <c r="B102">
        <v>5</v>
      </c>
      <c r="C102" s="22">
        <v>19823719362.900002</v>
      </c>
    </row>
    <row r="103" spans="1:5" x14ac:dyDescent="0.3">
      <c r="A103">
        <v>2016</v>
      </c>
      <c r="B103">
        <v>6</v>
      </c>
      <c r="C103" s="22">
        <v>21802593802.52</v>
      </c>
    </row>
    <row r="104" spans="1:5" x14ac:dyDescent="0.3">
      <c r="A104">
        <v>2016</v>
      </c>
      <c r="B104">
        <v>7</v>
      </c>
      <c r="C104" s="22">
        <v>25447994458.200001</v>
      </c>
    </row>
    <row r="105" spans="1:5" x14ac:dyDescent="0.3">
      <c r="A105">
        <v>2016</v>
      </c>
      <c r="B105">
        <v>8</v>
      </c>
      <c r="C105" s="22">
        <v>26358050426.330002</v>
      </c>
    </row>
    <row r="106" spans="1:5" x14ac:dyDescent="0.3">
      <c r="A106">
        <v>2016</v>
      </c>
      <c r="B106">
        <v>9</v>
      </c>
      <c r="C106" s="22">
        <v>24555947297.779999</v>
      </c>
    </row>
    <row r="107" spans="1:5" x14ac:dyDescent="0.3">
      <c r="A107">
        <v>2016</v>
      </c>
      <c r="B107">
        <v>10</v>
      </c>
      <c r="C107" s="22">
        <v>22228812291.490002</v>
      </c>
    </row>
    <row r="108" spans="1:5" x14ac:dyDescent="0.3">
      <c r="A108">
        <v>2016</v>
      </c>
      <c r="B108">
        <v>11</v>
      </c>
      <c r="C108" s="22">
        <v>20627892648.279999</v>
      </c>
    </row>
    <row r="109" spans="1:5" x14ac:dyDescent="0.3">
      <c r="A109">
        <v>2016</v>
      </c>
      <c r="B109">
        <v>12</v>
      </c>
      <c r="C109" s="22">
        <v>20118817619.57</v>
      </c>
      <c r="D109" s="23">
        <f>SUM(C98:C109)</f>
        <v>259865557744.97998</v>
      </c>
      <c r="E109" s="29">
        <f>D109/1000000</f>
        <v>259865.55774497997</v>
      </c>
    </row>
    <row r="110" spans="1:5" x14ac:dyDescent="0.3">
      <c r="A110">
        <v>2017</v>
      </c>
      <c r="B110">
        <v>1</v>
      </c>
      <c r="C110" s="22">
        <v>19752629455.66</v>
      </c>
    </row>
    <row r="111" spans="1:5" x14ac:dyDescent="0.3">
      <c r="A111">
        <v>2017</v>
      </c>
      <c r="B111">
        <v>2</v>
      </c>
      <c r="C111" s="22">
        <v>18974644969.41</v>
      </c>
    </row>
    <row r="112" spans="1:5" x14ac:dyDescent="0.3">
      <c r="A112">
        <v>2017</v>
      </c>
      <c r="B112">
        <v>3</v>
      </c>
      <c r="C112" s="22">
        <v>18251641902.029999</v>
      </c>
    </row>
    <row r="113" spans="1:3" x14ac:dyDescent="0.3">
      <c r="A113">
        <v>2017</v>
      </c>
      <c r="B113">
        <v>4</v>
      </c>
      <c r="C113" s="22">
        <v>9418372863.0699997</v>
      </c>
    </row>
    <row r="114" spans="1:3" x14ac:dyDescent="0.3">
      <c r="A114">
        <v>2017</v>
      </c>
      <c r="B114">
        <v>5</v>
      </c>
      <c r="C114" s="22">
        <v>10584665956.629999</v>
      </c>
    </row>
    <row r="115" spans="1:3" x14ac:dyDescent="0.3">
      <c r="A115">
        <v>2017</v>
      </c>
      <c r="B115">
        <v>6</v>
      </c>
      <c r="C115" s="22">
        <v>11932351712.24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4" sqref="A4"/>
    </sheetView>
  </sheetViews>
  <sheetFormatPr defaultRowHeight="14.4" x14ac:dyDescent="0.3"/>
  <cols>
    <col min="1" max="1" width="29.21875" bestFit="1" customWidth="1"/>
  </cols>
  <sheetData>
    <row r="1" spans="1:3" x14ac:dyDescent="0.3">
      <c r="A1" s="4" t="s">
        <v>106</v>
      </c>
    </row>
    <row r="2" spans="1:3" x14ac:dyDescent="0.3">
      <c r="A2" t="s">
        <v>118</v>
      </c>
    </row>
    <row r="3" spans="1:3" x14ac:dyDescent="0.3">
      <c r="A3" t="s">
        <v>120</v>
      </c>
      <c r="B3">
        <v>1700</v>
      </c>
      <c r="C3" t="s">
        <v>107</v>
      </c>
    </row>
    <row r="4" spans="1:3" x14ac:dyDescent="0.3">
      <c r="A4" t="s">
        <v>108</v>
      </c>
      <c r="B4">
        <v>1</v>
      </c>
      <c r="C4" t="s">
        <v>109</v>
      </c>
    </row>
    <row r="5" spans="1:3" x14ac:dyDescent="0.3">
      <c r="A5" t="s">
        <v>110</v>
      </c>
      <c r="B5">
        <v>1700</v>
      </c>
      <c r="C5" t="s">
        <v>107</v>
      </c>
    </row>
    <row r="6" spans="1:3" x14ac:dyDescent="0.3">
      <c r="A6" t="s">
        <v>112</v>
      </c>
      <c r="B6" s="3">
        <f>B5/B3</f>
        <v>1</v>
      </c>
    </row>
    <row r="7" spans="1:3" x14ac:dyDescent="0.3">
      <c r="A7" t="s">
        <v>111</v>
      </c>
      <c r="B7" s="25">
        <f>B3/(24*365)</f>
        <v>0.19406392694063926</v>
      </c>
      <c r="C7" t="s">
        <v>109</v>
      </c>
    </row>
    <row r="8" spans="1:3" x14ac:dyDescent="0.3">
      <c r="A8" s="26">
        <v>43090</v>
      </c>
      <c r="B8" s="25"/>
    </row>
    <row r="9" spans="1:3" x14ac:dyDescent="0.3">
      <c r="A9" t="s">
        <v>113</v>
      </c>
      <c r="B9">
        <f>15.75-8</f>
        <v>7.75</v>
      </c>
    </row>
    <row r="10" spans="1:3" x14ac:dyDescent="0.3">
      <c r="A10" t="s">
        <v>114</v>
      </c>
      <c r="B10">
        <f>24-B9</f>
        <v>16.25</v>
      </c>
    </row>
    <row r="11" spans="1:3" x14ac:dyDescent="0.3">
      <c r="A11" t="s">
        <v>17</v>
      </c>
      <c r="B11" s="14">
        <f>$B$7*B10</f>
        <v>3.1535388127853881</v>
      </c>
      <c r="C11" t="s">
        <v>107</v>
      </c>
    </row>
    <row r="12" spans="1:3" x14ac:dyDescent="0.3">
      <c r="A12" t="s">
        <v>115</v>
      </c>
      <c r="B12" s="14">
        <f>B11/$B$4</f>
        <v>3.1535388127853881</v>
      </c>
    </row>
    <row r="13" spans="1:3" x14ac:dyDescent="0.3">
      <c r="A13" s="26">
        <v>42815</v>
      </c>
      <c r="B13" s="25"/>
    </row>
    <row r="14" spans="1:3" x14ac:dyDescent="0.3">
      <c r="A14" t="s">
        <v>113</v>
      </c>
      <c r="B14">
        <v>10</v>
      </c>
    </row>
    <row r="15" spans="1:3" x14ac:dyDescent="0.3">
      <c r="A15" t="s">
        <v>114</v>
      </c>
      <c r="B15">
        <f>24-B14</f>
        <v>14</v>
      </c>
    </row>
    <row r="16" spans="1:3" x14ac:dyDescent="0.3">
      <c r="A16" t="s">
        <v>17</v>
      </c>
      <c r="B16" s="14">
        <f>$B$7*B15</f>
        <v>2.7168949771689497</v>
      </c>
      <c r="C16" t="s">
        <v>107</v>
      </c>
    </row>
    <row r="17" spans="1:3" x14ac:dyDescent="0.3">
      <c r="A17" t="s">
        <v>115</v>
      </c>
      <c r="B17" s="14">
        <f>B16/$B$4</f>
        <v>2.7168949771689497</v>
      </c>
    </row>
    <row r="18" spans="1:3" x14ac:dyDescent="0.3">
      <c r="A18" s="26">
        <v>42907</v>
      </c>
    </row>
    <row r="19" spans="1:3" x14ac:dyDescent="0.3">
      <c r="A19" t="s">
        <v>113</v>
      </c>
      <c r="B19">
        <f>17-6.75</f>
        <v>10.25</v>
      </c>
    </row>
    <row r="20" spans="1:3" x14ac:dyDescent="0.3">
      <c r="A20" t="s">
        <v>114</v>
      </c>
      <c r="B20">
        <f>24-B19</f>
        <v>13.75</v>
      </c>
    </row>
    <row r="21" spans="1:3" x14ac:dyDescent="0.3">
      <c r="A21" t="s">
        <v>17</v>
      </c>
      <c r="B21" s="14">
        <f>$B$7*B20</f>
        <v>2.6683789954337898</v>
      </c>
      <c r="C21" t="s">
        <v>107</v>
      </c>
    </row>
    <row r="22" spans="1:3" x14ac:dyDescent="0.3">
      <c r="A22" t="s">
        <v>115</v>
      </c>
      <c r="B22" s="14">
        <f>B21/$B$4</f>
        <v>2.6683789954337898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9" sqref="A9"/>
    </sheetView>
  </sheetViews>
  <sheetFormatPr defaultRowHeight="14.4" x14ac:dyDescent="0.3"/>
  <cols>
    <col min="1" max="1" width="29.21875" bestFit="1" customWidth="1"/>
  </cols>
  <sheetData>
    <row r="1" spans="1:3" x14ac:dyDescent="0.3">
      <c r="A1" s="4" t="s">
        <v>106</v>
      </c>
    </row>
    <row r="2" spans="1:3" x14ac:dyDescent="0.3">
      <c r="A2" t="s">
        <v>119</v>
      </c>
    </row>
    <row r="3" spans="1:3" x14ac:dyDescent="0.3">
      <c r="A3" t="s">
        <v>121</v>
      </c>
      <c r="B3">
        <v>1700</v>
      </c>
      <c r="C3" t="s">
        <v>107</v>
      </c>
    </row>
    <row r="4" spans="1:3" x14ac:dyDescent="0.3">
      <c r="A4" t="s">
        <v>108</v>
      </c>
      <c r="B4">
        <v>1</v>
      </c>
      <c r="C4" t="s">
        <v>109</v>
      </c>
    </row>
    <row r="5" spans="1:3" x14ac:dyDescent="0.3">
      <c r="A5" t="s">
        <v>110</v>
      </c>
      <c r="B5">
        <v>1700</v>
      </c>
      <c r="C5" t="s">
        <v>107</v>
      </c>
    </row>
    <row r="6" spans="1:3" x14ac:dyDescent="0.3">
      <c r="A6" t="s">
        <v>112</v>
      </c>
      <c r="B6" s="3">
        <f>B5/B3</f>
        <v>1</v>
      </c>
    </row>
    <row r="7" spans="1:3" x14ac:dyDescent="0.3">
      <c r="A7" t="s">
        <v>123</v>
      </c>
      <c r="B7" s="14">
        <f>B3/365</f>
        <v>4.6575342465753424</v>
      </c>
      <c r="C7" t="s">
        <v>107</v>
      </c>
    </row>
    <row r="8" spans="1:3" x14ac:dyDescent="0.3">
      <c r="A8" t="s">
        <v>111</v>
      </c>
      <c r="B8" s="25">
        <f>B3/(24*365)</f>
        <v>0.19406392694063926</v>
      </c>
      <c r="C8" t="s">
        <v>109</v>
      </c>
    </row>
    <row r="9" spans="1:3" x14ac:dyDescent="0.3">
      <c r="A9" s="26">
        <v>43090</v>
      </c>
      <c r="B9" s="25"/>
    </row>
    <row r="10" spans="1:3" x14ac:dyDescent="0.3">
      <c r="A10" t="s">
        <v>113</v>
      </c>
      <c r="B10">
        <v>9</v>
      </c>
    </row>
    <row r="11" spans="1:3" x14ac:dyDescent="0.3">
      <c r="A11" t="s">
        <v>114</v>
      </c>
      <c r="B11">
        <f>24-B10</f>
        <v>15</v>
      </c>
    </row>
    <row r="12" spans="1:3" x14ac:dyDescent="0.3">
      <c r="A12" t="s">
        <v>122</v>
      </c>
      <c r="B12" s="27">
        <v>0.57599999999999996</v>
      </c>
    </row>
    <row r="13" spans="1:3" x14ac:dyDescent="0.3">
      <c r="A13" t="s">
        <v>17</v>
      </c>
      <c r="B13" s="14">
        <f>$B$7*B12</f>
        <v>2.6827397260273971</v>
      </c>
      <c r="C13" t="s">
        <v>107</v>
      </c>
    </row>
    <row r="14" spans="1:3" x14ac:dyDescent="0.3">
      <c r="A14" t="s">
        <v>115</v>
      </c>
      <c r="B14" s="14">
        <f>$B$13/$B$4</f>
        <v>2.6827397260273971</v>
      </c>
    </row>
    <row r="15" spans="1:3" x14ac:dyDescent="0.3">
      <c r="A15" s="26">
        <v>42815</v>
      </c>
      <c r="B15" s="25"/>
    </row>
    <row r="16" spans="1:3" x14ac:dyDescent="0.3">
      <c r="A16" t="s">
        <v>113</v>
      </c>
      <c r="B16">
        <v>10</v>
      </c>
    </row>
    <row r="17" spans="1:3" x14ac:dyDescent="0.3">
      <c r="A17" t="s">
        <v>114</v>
      </c>
      <c r="B17">
        <f>24-B16</f>
        <v>14</v>
      </c>
    </row>
    <row r="18" spans="1:3" x14ac:dyDescent="0.3">
      <c r="A18" t="s">
        <v>122</v>
      </c>
      <c r="B18" s="27">
        <v>0.52300000000000002</v>
      </c>
    </row>
    <row r="19" spans="1:3" x14ac:dyDescent="0.3">
      <c r="A19" t="s">
        <v>17</v>
      </c>
      <c r="B19" s="14">
        <f>$B$7*B18</f>
        <v>2.4358904109589044</v>
      </c>
      <c r="C19" t="s">
        <v>107</v>
      </c>
    </row>
    <row r="20" spans="1:3" x14ac:dyDescent="0.3">
      <c r="A20" t="s">
        <v>115</v>
      </c>
      <c r="B20" s="14">
        <f>B19/$B$4</f>
        <v>2.4358904109589044</v>
      </c>
    </row>
    <row r="21" spans="1:3" x14ac:dyDescent="0.3">
      <c r="A21" s="26">
        <v>42907</v>
      </c>
    </row>
    <row r="22" spans="1:3" x14ac:dyDescent="0.3">
      <c r="A22" t="s">
        <v>113</v>
      </c>
      <c r="B22">
        <v>12</v>
      </c>
    </row>
    <row r="23" spans="1:3" x14ac:dyDescent="0.3">
      <c r="A23" t="s">
        <v>114</v>
      </c>
      <c r="B23">
        <f>24-B22</f>
        <v>12</v>
      </c>
    </row>
    <row r="24" spans="1:3" x14ac:dyDescent="0.3">
      <c r="A24" t="s">
        <v>122</v>
      </c>
      <c r="B24" s="27">
        <v>0.437</v>
      </c>
    </row>
    <row r="25" spans="1:3" x14ac:dyDescent="0.3">
      <c r="A25" t="s">
        <v>17</v>
      </c>
      <c r="B25" s="14">
        <f>$B$7*B24</f>
        <v>2.0353424657534247</v>
      </c>
      <c r="C25" t="s">
        <v>107</v>
      </c>
    </row>
    <row r="26" spans="1:3" x14ac:dyDescent="0.3">
      <c r="A26" t="s">
        <v>115</v>
      </c>
      <c r="B26" s="14">
        <f>B25/$B$4</f>
        <v>2.0353424657534247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Totals USA</vt:lpstr>
      <vt:lpstr>GHG USA</vt:lpstr>
      <vt:lpstr>EV USA</vt:lpstr>
      <vt:lpstr>NG USA</vt:lpstr>
      <vt:lpstr>Totals California</vt:lpstr>
      <vt:lpstr>Mix</vt:lpstr>
      <vt:lpstr>GHG</vt:lpstr>
      <vt:lpstr>EV</vt:lpstr>
      <vt:lpstr>NG</vt:lpstr>
      <vt:lpstr>NG 2016</vt:lpstr>
      <vt:lpstr>CEC cover sheet</vt:lpstr>
      <vt:lpstr>CEC electric use</vt:lpstr>
      <vt:lpstr>Storage flat load</vt:lpstr>
      <vt:lpstr>Storage Ca 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Rust</dc:creator>
  <cp:lastModifiedBy>Tom Rust</cp:lastModifiedBy>
  <cp:lastPrinted>2019-08-02T00:34:38Z</cp:lastPrinted>
  <dcterms:created xsi:type="dcterms:W3CDTF">2017-08-13T19:17:44Z</dcterms:created>
  <dcterms:modified xsi:type="dcterms:W3CDTF">2019-08-05T22:49:19Z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c520f13d-5fb2-4d3b-a545-b1e7d40b2483</vt:lpwstr>
  </property>
</Properties>
</file>