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F:\cps\rate_models\latest_versions\"/>
    </mc:Choice>
  </mc:AlternateContent>
  <xr:revisionPtr revIDLastSave="0" documentId="8_{9D810AB7-B45B-4351-8900-3957DF5F0A6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B-19R" sheetId="5" r:id="rId1"/>
    <sheet name="B-10" sheetId="7" r:id="rId2"/>
    <sheet name="B-1ST" sheetId="8" r:id="rId3"/>
    <sheet name="EV2" sheetId="9" r:id="rId4"/>
    <sheet name="E-ELECT  NEM3" sheetId="10" r:id="rId5"/>
    <sheet name="EV" sheetId="3" r:id="rId6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0" l="1"/>
  <c r="C20" i="10"/>
  <c r="B20" i="10"/>
  <c r="A20" i="10"/>
  <c r="B19" i="10"/>
  <c r="D15" i="10" s="1"/>
  <c r="B17" i="10"/>
  <c r="B18" i="10" s="1"/>
  <c r="B16" i="10"/>
  <c r="B14" i="10"/>
  <c r="H13" i="10"/>
  <c r="F13" i="10"/>
  <c r="C7" i="10" s="1"/>
  <c r="E7" i="10" s="1"/>
  <c r="B13" i="10"/>
  <c r="A7" i="10" s="1"/>
  <c r="E12" i="10"/>
  <c r="B12" i="10"/>
  <c r="E11" i="10"/>
  <c r="E10" i="10"/>
  <c r="H13" i="9"/>
  <c r="H12" i="8"/>
  <c r="H12" i="7"/>
  <c r="B8" i="8"/>
  <c r="B18" i="8"/>
  <c r="C6" i="10" l="1"/>
  <c r="K7" i="10"/>
  <c r="A5" i="10"/>
  <c r="F7" i="10"/>
  <c r="G7" i="10" s="1"/>
  <c r="J7" i="10" s="1"/>
  <c r="C5" i="10"/>
  <c r="E5" i="10" s="1"/>
  <c r="A4" i="10"/>
  <c r="C4" i="10"/>
  <c r="E4" i="10" s="1"/>
  <c r="A3" i="10"/>
  <c r="F4" i="10"/>
  <c r="G4" i="10" s="1"/>
  <c r="C3" i="10"/>
  <c r="A2" i="10"/>
  <c r="C2" i="10"/>
  <c r="E12" i="9"/>
  <c r="E11" i="9"/>
  <c r="E10" i="9"/>
  <c r="E11" i="8"/>
  <c r="E10" i="8"/>
  <c r="E9" i="8"/>
  <c r="E11" i="7"/>
  <c r="E10" i="7"/>
  <c r="E9" i="7"/>
  <c r="B16" i="8"/>
  <c r="F5" i="10" l="1"/>
  <c r="G5" i="10" s="1"/>
  <c r="J5" i="10" s="1"/>
  <c r="F2" i="10"/>
  <c r="G2" i="10" s="1"/>
  <c r="F6" i="10"/>
  <c r="G6" i="10" s="1"/>
  <c r="E6" i="10"/>
  <c r="E3" i="10"/>
  <c r="I4" i="10"/>
  <c r="H4" i="10"/>
  <c r="K3" i="10"/>
  <c r="J4" i="10"/>
  <c r="K4" i="10"/>
  <c r="K5" i="10"/>
  <c r="E9" i="10"/>
  <c r="I7" i="10"/>
  <c r="H7" i="10"/>
  <c r="E2" i="10"/>
  <c r="I2" i="10" s="1"/>
  <c r="F3" i="10"/>
  <c r="G3" i="10" s="1"/>
  <c r="C20" i="9"/>
  <c r="A20" i="9"/>
  <c r="C19" i="8"/>
  <c r="A19" i="8"/>
  <c r="C19" i="7"/>
  <c r="A19" i="7"/>
  <c r="B19" i="5"/>
  <c r="B19" i="7" s="1"/>
  <c r="J3" i="10" l="1"/>
  <c r="I5" i="10"/>
  <c r="H5" i="10"/>
  <c r="H6" i="10"/>
  <c r="I6" i="10"/>
  <c r="J6" i="10"/>
  <c r="K6" i="10"/>
  <c r="K2" i="10"/>
  <c r="J2" i="10"/>
  <c r="I3" i="10"/>
  <c r="H3" i="10"/>
  <c r="H2" i="10"/>
  <c r="B19" i="8"/>
  <c r="B20" i="9"/>
  <c r="B12" i="5" l="1"/>
  <c r="B13" i="8"/>
  <c r="B13" i="9" l="1"/>
  <c r="A6" i="9" s="1"/>
  <c r="F12" i="5"/>
  <c r="B19" i="9"/>
  <c r="B17" i="9"/>
  <c r="B16" i="9"/>
  <c r="B14" i="9"/>
  <c r="B12" i="9"/>
  <c r="F6" i="9" l="1"/>
  <c r="G6" i="9" s="1"/>
  <c r="F13" i="9"/>
  <c r="C6" i="9" s="1"/>
  <c r="E6" i="9" s="1"/>
  <c r="J6" i="9" s="1"/>
  <c r="C3" i="5"/>
  <c r="C2" i="5"/>
  <c r="F12" i="7"/>
  <c r="C6" i="5"/>
  <c r="C5" i="5"/>
  <c r="C4" i="5"/>
  <c r="F12" i="8"/>
  <c r="B18" i="9"/>
  <c r="D15" i="9"/>
  <c r="I6" i="9" l="1"/>
  <c r="H6" i="9"/>
  <c r="K6" i="9"/>
  <c r="C5" i="8"/>
  <c r="C2" i="8"/>
  <c r="C4" i="8"/>
  <c r="C3" i="8"/>
  <c r="C6" i="8"/>
  <c r="C6" i="7"/>
  <c r="C3" i="7"/>
  <c r="C5" i="7"/>
  <c r="C2" i="7"/>
  <c r="C4" i="7"/>
  <c r="C7" i="9"/>
  <c r="C2" i="9"/>
  <c r="C3" i="9"/>
  <c r="C4" i="9"/>
  <c r="C5" i="9"/>
  <c r="B18" i="7"/>
  <c r="D14" i="7" s="1"/>
  <c r="B16" i="7"/>
  <c r="B17" i="5"/>
  <c r="D14" i="5"/>
  <c r="B15" i="8"/>
  <c r="B15" i="7"/>
  <c r="B11" i="8"/>
  <c r="B10" i="8"/>
  <c r="B7" i="8"/>
  <c r="B13" i="7"/>
  <c r="B11" i="7"/>
  <c r="B10" i="7"/>
  <c r="B8" i="7"/>
  <c r="B7" i="7"/>
  <c r="E5" i="7" l="1"/>
  <c r="A3" i="9"/>
  <c r="E3" i="9" s="1"/>
  <c r="B17" i="8"/>
  <c r="B17" i="7"/>
  <c r="D14" i="8"/>
  <c r="B12" i="7"/>
  <c r="A5" i="7" s="1"/>
  <c r="B12" i="8"/>
  <c r="A2" i="8" s="1"/>
  <c r="E2" i="8" s="1"/>
  <c r="A6" i="5"/>
  <c r="E6" i="5" s="1"/>
  <c r="A5" i="5"/>
  <c r="E5" i="5" s="1"/>
  <c r="A4" i="5"/>
  <c r="E4" i="5" s="1"/>
  <c r="A3" i="5"/>
  <c r="E3" i="5" s="1"/>
  <c r="A2" i="5"/>
  <c r="E2" i="5" s="1"/>
  <c r="A5" i="9" l="1"/>
  <c r="E5" i="9" s="1"/>
  <c r="A2" i="9"/>
  <c r="E2" i="9" s="1"/>
  <c r="A7" i="9"/>
  <c r="E7" i="9" s="1"/>
  <c r="A4" i="9"/>
  <c r="E4" i="9" s="1"/>
  <c r="A4" i="8"/>
  <c r="A3" i="8"/>
  <c r="A2" i="7"/>
  <c r="E2" i="7" s="1"/>
  <c r="A6" i="7"/>
  <c r="E6" i="7" s="1"/>
  <c r="A5" i="8"/>
  <c r="J5" i="7"/>
  <c r="F5" i="7"/>
  <c r="G5" i="7" s="1"/>
  <c r="A4" i="7"/>
  <c r="A3" i="7"/>
  <c r="F2" i="8"/>
  <c r="G2" i="8" s="1"/>
  <c r="A6" i="8"/>
  <c r="E6" i="8" s="1"/>
  <c r="F3" i="7" l="1"/>
  <c r="G3" i="7" s="1"/>
  <c r="E3" i="7"/>
  <c r="J3" i="7" s="1"/>
  <c r="E5" i="8"/>
  <c r="J5" i="8" s="1"/>
  <c r="E4" i="8"/>
  <c r="J4" i="8" s="1"/>
  <c r="F4" i="7"/>
  <c r="G4" i="7" s="1"/>
  <c r="E4" i="7"/>
  <c r="J4" i="7" s="1"/>
  <c r="E3" i="8"/>
  <c r="J3" i="8" s="1"/>
  <c r="F7" i="9"/>
  <c r="G7" i="9" s="1"/>
  <c r="E9" i="9" s="1"/>
  <c r="F3" i="9"/>
  <c r="G3" i="9" s="1"/>
  <c r="F4" i="9"/>
  <c r="G4" i="9" s="1"/>
  <c r="F2" i="9"/>
  <c r="G2" i="9" s="1"/>
  <c r="F5" i="9"/>
  <c r="G5" i="9" s="1"/>
  <c r="K2" i="9"/>
  <c r="K5" i="9"/>
  <c r="K4" i="9"/>
  <c r="K3" i="9"/>
  <c r="F4" i="8"/>
  <c r="G4" i="8" s="1"/>
  <c r="I2" i="8"/>
  <c r="I5" i="7"/>
  <c r="J2" i="8"/>
  <c r="H2" i="8"/>
  <c r="F5" i="8"/>
  <c r="G5" i="8" s="1"/>
  <c r="I5" i="8" s="1"/>
  <c r="H5" i="7"/>
  <c r="F6" i="8"/>
  <c r="G6" i="8" s="1"/>
  <c r="J2" i="7"/>
  <c r="F2" i="7"/>
  <c r="G2" i="7" s="1"/>
  <c r="F3" i="8"/>
  <c r="G3" i="8" s="1"/>
  <c r="J6" i="7"/>
  <c r="F6" i="7"/>
  <c r="G6" i="7" s="1"/>
  <c r="E8" i="7" s="1"/>
  <c r="J6" i="8"/>
  <c r="J2" i="5"/>
  <c r="J6" i="5"/>
  <c r="J5" i="5"/>
  <c r="J4" i="5"/>
  <c r="J3" i="5"/>
  <c r="H3" i="8" l="1"/>
  <c r="H4" i="8"/>
  <c r="H6" i="8"/>
  <c r="E8" i="8"/>
  <c r="J3" i="9"/>
  <c r="H2" i="9"/>
  <c r="H3" i="9"/>
  <c r="H4" i="9"/>
  <c r="J4" i="9"/>
  <c r="H5" i="9"/>
  <c r="J5" i="9"/>
  <c r="J2" i="9"/>
  <c r="I4" i="8"/>
  <c r="I4" i="7"/>
  <c r="H2" i="7"/>
  <c r="H5" i="8"/>
  <c r="H4" i="7"/>
  <c r="I6" i="8"/>
  <c r="I3" i="8"/>
  <c r="H3" i="7"/>
  <c r="I2" i="7"/>
  <c r="I6" i="7"/>
  <c r="H6" i="7"/>
  <c r="I3" i="7"/>
  <c r="F6" i="5"/>
  <c r="G6" i="5" s="1"/>
  <c r="E8" i="5" s="1"/>
  <c r="F2" i="5"/>
  <c r="G2" i="5" s="1"/>
  <c r="F3" i="5"/>
  <c r="G3" i="5" s="1"/>
  <c r="F4" i="5"/>
  <c r="G4" i="5" s="1"/>
  <c r="F5" i="5"/>
  <c r="G5" i="5" s="1"/>
  <c r="K7" i="9" l="1"/>
  <c r="J7" i="9"/>
  <c r="H7" i="9"/>
  <c r="H3" i="5"/>
  <c r="I6" i="5"/>
  <c r="I5" i="5"/>
  <c r="I4" i="5"/>
  <c r="H6" i="5"/>
  <c r="H5" i="5"/>
  <c r="H4" i="5"/>
  <c r="I3" i="5"/>
  <c r="H2" i="5"/>
  <c r="I2" i="5"/>
  <c r="B3" i="3"/>
  <c r="B6" i="3" s="1"/>
  <c r="I7" i="9" s="1"/>
  <c r="I4" i="9" l="1"/>
  <c r="I5" i="9"/>
  <c r="I2" i="9"/>
  <c r="I3" i="9"/>
</calcChain>
</file>

<file path=xl/sharedStrings.xml><?xml version="1.0" encoding="utf-8"?>
<sst xmlns="http://schemas.openxmlformats.org/spreadsheetml/2006/main" count="218" uniqueCount="60">
  <si>
    <t>Savings</t>
  </si>
  <si>
    <t>Raw Cost</t>
  </si>
  <si>
    <t>Final Cost</t>
  </si>
  <si>
    <t xml:space="preserve"> </t>
  </si>
  <si>
    <t>Solar+Storage Savings</t>
  </si>
  <si>
    <t>Simple Payback Years</t>
  </si>
  <si>
    <t>Miles per day</t>
  </si>
  <si>
    <t>Miles per year</t>
  </si>
  <si>
    <t>mpg</t>
  </si>
  <si>
    <t>Gas price</t>
  </si>
  <si>
    <t>EV2</t>
  </si>
  <si>
    <t>PV size kw</t>
  </si>
  <si>
    <t>Storage size kwh</t>
  </si>
  <si>
    <t>Storage savings per kwh</t>
  </si>
  <si>
    <t>Storage rate $/kwh</t>
  </si>
  <si>
    <t>PV Rate $/watt</t>
  </si>
  <si>
    <t>Storage Multiplier</t>
  </si>
  <si>
    <t>Savings rate PV $/kw</t>
  </si>
  <si>
    <t>SGIP rebate rate $/wh</t>
  </si>
  <si>
    <t>ITC</t>
  </si>
  <si>
    <t>10 year Total Income</t>
  </si>
  <si>
    <t>PV Size</t>
  </si>
  <si>
    <t>kw</t>
  </si>
  <si>
    <t>Rate</t>
  </si>
  <si>
    <t>Storage Only</t>
  </si>
  <si>
    <t>1 if calc for storage only</t>
  </si>
  <si>
    <t>B-19R</t>
  </si>
  <si>
    <t>B-10</t>
  </si>
  <si>
    <t>Ave Load Rate</t>
  </si>
  <si>
    <t>Gen rate</t>
  </si>
  <si>
    <t>kwh/kw</t>
  </si>
  <si>
    <t>Annual gen</t>
  </si>
  <si>
    <t>kwh</t>
  </si>
  <si>
    <t>Load Cost</t>
  </si>
  <si>
    <t>Annual Cost-Savings</t>
  </si>
  <si>
    <t>Annual Load</t>
  </si>
  <si>
    <t>Solar percent of load</t>
  </si>
  <si>
    <t>Enter annual energy usage here</t>
  </si>
  <si>
    <t>Enter percentage of load desired to be generated by solar</t>
  </si>
  <si>
    <t>Up to 1MW demand</t>
  </si>
  <si>
    <t>Up to 500kw demand</t>
  </si>
  <si>
    <t>Up to 75kw demand</t>
  </si>
  <si>
    <t>Annual Cost  -Savings</t>
  </si>
  <si>
    <t>Residential solar+storage</t>
  </si>
  <si>
    <t>Payback with EV</t>
  </si>
  <si>
    <t>grey cells - user can change</t>
  </si>
  <si>
    <t>green cells - auto generated</t>
  </si>
  <si>
    <t>Average Daily Use</t>
  </si>
  <si>
    <t>Storage Block Size</t>
  </si>
  <si>
    <t>B-1ST</t>
  </si>
  <si>
    <t>LCOE</t>
  </si>
  <si>
    <t>Lifetime</t>
  </si>
  <si>
    <t>years</t>
  </si>
  <si>
    <t>PV Degrade rate</t>
  </si>
  <si>
    <t>Percent/yr</t>
  </si>
  <si>
    <t>Battery Degrade Rate</t>
  </si>
  <si>
    <t>LCOE (4x battery)</t>
  </si>
  <si>
    <t>percentage bat capacity used</t>
  </si>
  <si>
    <t>E-ELECT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</si>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</sst>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"/>
    <numFmt numFmtId="166" formatCode="&quot;$&quot;#,##0.000_);[Red]\(&quot;$&quot;#,##0.000\)"/>
    <numFmt numFmtId="167" formatCode="#,##0.0_);[Red]\(#,##0.0\)"/>
  </numFmts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6337778862885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6" fontId="1" fillId="4" borderId="1" xfId="0" applyNumberFormat="1" applyFont="1" applyFill="1" applyBorder="1"/>
    <xf numFmtId="164" fontId="1" fillId="4" borderId="1" xfId="0" applyNumberFormat="1" applyFont="1" applyFill="1" applyBorder="1"/>
    <xf numFmtId="165" fontId="1" fillId="3" borderId="1" xfId="0" applyNumberFormat="1" applyFont="1" applyFill="1" applyBorder="1"/>
    <xf numFmtId="8" fontId="1" fillId="2" borderId="1" xfId="0" applyNumberFormat="1" applyFont="1" applyFill="1" applyBorder="1"/>
    <xf numFmtId="8" fontId="1" fillId="4" borderId="1" xfId="0" applyNumberFormat="1" applyFont="1" applyFill="1" applyBorder="1"/>
    <xf numFmtId="165" fontId="1" fillId="4" borderId="1" xfId="0" applyNumberFormat="1" applyFont="1" applyFill="1" applyBorder="1"/>
    <xf numFmtId="6" fontId="1" fillId="2" borderId="1" xfId="0" applyNumberFormat="1" applyFont="1" applyFill="1" applyBorder="1"/>
    <xf numFmtId="9" fontId="1" fillId="2" borderId="1" xfId="0" applyNumberFormat="1" applyFont="1" applyFill="1" applyBorder="1"/>
    <xf numFmtId="0" fontId="1" fillId="2" borderId="1" xfId="0" applyFont="1" applyFill="1" applyBorder="1"/>
    <xf numFmtId="0" fontId="0" fillId="4" borderId="1" xfId="0" applyFill="1" applyBorder="1"/>
    <xf numFmtId="0" fontId="0" fillId="0" borderId="0" xfId="0" applyAlignment="1">
      <alignment wrapText="1"/>
    </xf>
    <xf numFmtId="3" fontId="1" fillId="2" borderId="1" xfId="0" applyNumberFormat="1" applyFont="1" applyFill="1" applyBorder="1"/>
    <xf numFmtId="166" fontId="1" fillId="2" borderId="1" xfId="0" applyNumberFormat="1" applyFont="1" applyFill="1" applyBorder="1"/>
    <xf numFmtId="3" fontId="1" fillId="5" borderId="1" xfId="0" applyNumberFormat="1" applyFont="1" applyFill="1" applyBorder="1"/>
    <xf numFmtId="0" fontId="1" fillId="4" borderId="2" xfId="0" applyFont="1" applyFill="1" applyBorder="1"/>
    <xf numFmtId="9" fontId="1" fillId="5" borderId="1" xfId="0" applyNumberFormat="1" applyFont="1" applyFill="1" applyBorder="1"/>
    <xf numFmtId="2" fontId="1" fillId="4" borderId="1" xfId="0" applyNumberFormat="1" applyFont="1" applyFill="1" applyBorder="1"/>
    <xf numFmtId="8" fontId="1" fillId="0" borderId="0" xfId="0" applyNumberFormat="1" applyFont="1"/>
    <xf numFmtId="6" fontId="1" fillId="4" borderId="1" xfId="0" applyNumberFormat="1" applyFont="1" applyFill="1" applyBorder="1" applyAlignment="1">
      <alignment wrapText="1"/>
    </xf>
    <xf numFmtId="6" fontId="1" fillId="4" borderId="0" xfId="0" applyNumberFormat="1" applyFont="1" applyFill="1"/>
    <xf numFmtId="0" fontId="1" fillId="4" borderId="0" xfId="0" applyFont="1" applyFill="1"/>
    <xf numFmtId="0" fontId="0" fillId="4" borderId="0" xfId="0" applyFill="1"/>
    <xf numFmtId="0" fontId="1" fillId="6" borderId="3" xfId="0" applyFont="1" applyFill="1" applyBorder="1" applyAlignment="1">
      <alignment wrapText="1"/>
    </xf>
    <xf numFmtId="167" fontId="1" fillId="3" borderId="3" xfId="0" applyNumberFormat="1" applyFont="1" applyFill="1" applyBorder="1"/>
    <xf numFmtId="8" fontId="1" fillId="5" borderId="1" xfId="0" applyNumberFormat="1" applyFont="1" applyFill="1" applyBorder="1"/>
    <xf numFmtId="6" fontId="1" fillId="5" borderId="1" xfId="0" applyNumberFormat="1" applyFont="1" applyFill="1" applyBorder="1"/>
    <xf numFmtId="0" fontId="1" fillId="5" borderId="1" xfId="0" applyFont="1" applyFill="1" applyBorder="1"/>
    <xf numFmtId="2" fontId="1" fillId="2" borderId="1" xfId="0" applyNumberFormat="1" applyFont="1" applyFill="1" applyBorder="1"/>
    <xf numFmtId="0" fontId="2" fillId="0" borderId="0" xfId="0" applyFont="1"/>
    <xf numFmtId="2" fontId="1" fillId="2" borderId="0" xfId="0" applyNumberFormat="1" applyFont="1" applyFill="1"/>
    <xf numFmtId="0" fontId="1" fillId="7" borderId="1" xfId="0" applyFont="1" applyFill="1" applyBorder="1"/>
    <xf numFmtId="10" fontId="1" fillId="7" borderId="1" xfId="0" applyNumberFormat="1" applyFont="1" applyFill="1" applyBorder="1"/>
    <xf numFmtId="9" fontId="1" fillId="7" borderId="1" xfId="0" applyNumberFormat="1" applyFont="1" applyFill="1" applyBorder="1"/>
    <xf numFmtId="10" fontId="1" fillId="2" borderId="1" xfId="0" applyNumberFormat="1" applyFont="1" applyFill="1" applyBorder="1"/>
    <xf numFmtId="0" fontId="2" fillId="4" borderId="0" xfId="0" applyFont="1" applyFill="1" applyAlignment="1">
      <alignment wrapText="1"/>
    </xf>
    <xf numFmtId="0" fontId="0" fillId="4" borderId="4" xfId="0" applyFill="1" applyBorder="1"/>
    <xf numFmtId="0" fontId="0" fillId="0" borderId="1" xfId="0" applyBorder="1"/>
    <xf numFmtId="0" fontId="0" fillId="4" borderId="6" xfId="0" applyFill="1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4" borderId="5" xfId="0" applyFill="1" applyBorder="1"/>
    <xf numFmtId="2" fontId="1" fillId="7" borderId="1" xfId="0" applyNumberFormat="1" applyFont="1" applyFill="1" applyBorder="1"/>
    <xf numFmtId="8" fontId="1" fillId="7" borderId="1" xfId="0" applyNumberFormat="1" applyFont="1" applyFill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P21"/>
  <sheetViews>
    <sheetView topLeftCell="A4" workbookViewId="0">
      <selection activeCell="H13" sqref="H13"/>
    </sheetView>
  </sheetViews>
  <sheetFormatPr defaultRowHeight="15" x14ac:dyDescent="0.25"/>
  <cols>
    <col min="1" max="1" width="31.85546875" customWidth="1"/>
    <col min="2" max="2" width="21.7109375" customWidth="1"/>
    <col min="3" max="3" width="19.28515625" customWidth="1"/>
    <col min="4" max="4" width="31.42578125" customWidth="1"/>
    <col min="5" max="5" width="26.7109375" customWidth="1"/>
    <col min="6" max="6" width="21.7109375" bestFit="1" customWidth="1"/>
    <col min="7" max="7" width="23.140625" bestFit="1" customWidth="1"/>
    <col min="8" max="8" width="17" customWidth="1"/>
    <col min="9" max="9" width="33.85546875" customWidth="1"/>
    <col min="10" max="10" width="17.7109375" style="15" customWidth="1"/>
  </cols>
  <sheetData>
    <row r="1" spans="1:16" ht="93" customHeight="1" x14ac:dyDescent="0.5">
      <c r="A1" s="3" t="s">
        <v>11</v>
      </c>
      <c r="B1" s="4" t="s">
        <v>16</v>
      </c>
      <c r="C1" s="4" t="s">
        <v>12</v>
      </c>
      <c r="D1" s="4" t="s">
        <v>13</v>
      </c>
      <c r="E1" s="4" t="s">
        <v>4</v>
      </c>
      <c r="F1" s="4" t="s">
        <v>1</v>
      </c>
      <c r="G1" s="4" t="s">
        <v>2</v>
      </c>
      <c r="H1" s="4" t="s">
        <v>5</v>
      </c>
      <c r="I1" s="4" t="s">
        <v>20</v>
      </c>
      <c r="J1" s="4" t="s">
        <v>42</v>
      </c>
      <c r="K1" s="1"/>
      <c r="L1" s="1"/>
      <c r="M1" s="1"/>
      <c r="N1" s="1"/>
      <c r="O1" s="1"/>
      <c r="P1" s="1"/>
    </row>
    <row r="2" spans="1:16" ht="31.5" x14ac:dyDescent="0.5">
      <c r="A2" s="21">
        <f>$B$12</f>
        <v>10</v>
      </c>
      <c r="B2" s="3">
        <v>0</v>
      </c>
      <c r="C2" s="21">
        <f>$F$12*B2</f>
        <v>0</v>
      </c>
      <c r="D2" s="5">
        <v>0</v>
      </c>
      <c r="E2" s="5">
        <f>IF($B$13,0,$B$9*A2)+(C2*D2*$H$12)</f>
        <v>2970</v>
      </c>
      <c r="F2" s="6">
        <f>IF($B$13,0,($B$7*A2*1000))+($B$8*C2)</f>
        <v>25000</v>
      </c>
      <c r="G2" s="5">
        <f>F2*(1-$B$11)-($B$10*C2*1000)</f>
        <v>17500</v>
      </c>
      <c r="H2" s="7">
        <f>G2/E2</f>
        <v>5.8922558922558919</v>
      </c>
      <c r="I2" s="5">
        <f>(E2+E2*(1.025^10))/2*10-G2</f>
        <v>16359.255481315908</v>
      </c>
      <c r="J2" s="23">
        <f>$D$14-E2</f>
        <v>721.19999999999982</v>
      </c>
      <c r="K2" s="1"/>
      <c r="L2" s="1"/>
      <c r="M2" s="1"/>
      <c r="N2" s="1"/>
      <c r="O2" s="1"/>
      <c r="P2" s="1"/>
    </row>
    <row r="3" spans="1:16" ht="31.5" x14ac:dyDescent="0.5">
      <c r="A3" s="21">
        <f t="shared" ref="A3:A6" si="0">$B$12</f>
        <v>10</v>
      </c>
      <c r="B3" s="3">
        <v>0.5</v>
      </c>
      <c r="C3" s="21">
        <f t="shared" ref="C3:C6" si="1">$F$12*B3</f>
        <v>5</v>
      </c>
      <c r="D3" s="5">
        <v>16</v>
      </c>
      <c r="E3" s="5">
        <f t="shared" ref="E3:E6" si="2">IF($B$13,0,$B$9*A3)+(C3*D3*$H$12)</f>
        <v>3050</v>
      </c>
      <c r="F3" s="6">
        <f t="shared" ref="F3:F6" si="3">IF($B$13,0,($B$7*A3*1000))+($B$8*C3)</f>
        <v>26750</v>
      </c>
      <c r="G3" s="5">
        <f t="shared" ref="G3:G6" si="4">F3*(1-$B$11)-($B$10*C3*1000)</f>
        <v>18725</v>
      </c>
      <c r="H3" s="7">
        <f>G3/E3</f>
        <v>6.139344262295082</v>
      </c>
      <c r="I3" s="5">
        <f t="shared" ref="I3:I6" si="5">(E3+E3*(1.025^10))/2*10-G3</f>
        <v>16046.289298994445</v>
      </c>
      <c r="J3" s="23">
        <f t="shared" ref="J3:J6" si="6">$D$14-E3</f>
        <v>641.19999999999982</v>
      </c>
      <c r="K3" s="1"/>
      <c r="L3" s="1"/>
      <c r="M3" s="1"/>
      <c r="N3" s="1"/>
      <c r="O3" s="1"/>
      <c r="P3" s="1"/>
    </row>
    <row r="4" spans="1:16" ht="31.5" x14ac:dyDescent="0.5">
      <c r="A4" s="21">
        <f t="shared" si="0"/>
        <v>10</v>
      </c>
      <c r="B4" s="3">
        <v>1</v>
      </c>
      <c r="C4" s="21">
        <f t="shared" si="1"/>
        <v>10</v>
      </c>
      <c r="D4" s="5">
        <v>28</v>
      </c>
      <c r="E4" s="5">
        <f t="shared" si="2"/>
        <v>3250</v>
      </c>
      <c r="F4" s="6">
        <f t="shared" si="3"/>
        <v>28500</v>
      </c>
      <c r="G4" s="5">
        <f t="shared" si="4"/>
        <v>19950</v>
      </c>
      <c r="H4" s="7">
        <f t="shared" ref="H4:H6" si="7">G4/E4</f>
        <v>6.1384615384615389</v>
      </c>
      <c r="I4" s="5">
        <f t="shared" si="5"/>
        <v>17101.373843190806</v>
      </c>
      <c r="J4" s="23">
        <f t="shared" si="6"/>
        <v>441.19999999999982</v>
      </c>
      <c r="K4" s="1"/>
      <c r="L4" s="1"/>
      <c r="M4" s="1"/>
      <c r="N4" s="1"/>
      <c r="O4" s="1"/>
      <c r="P4" s="1"/>
    </row>
    <row r="5" spans="1:16" ht="31.5" x14ac:dyDescent="0.5">
      <c r="A5" s="21">
        <f t="shared" si="0"/>
        <v>10</v>
      </c>
      <c r="B5" s="3">
        <v>2</v>
      </c>
      <c r="C5" s="21">
        <f t="shared" si="1"/>
        <v>20</v>
      </c>
      <c r="D5" s="5">
        <v>33</v>
      </c>
      <c r="E5" s="5">
        <f t="shared" si="2"/>
        <v>3630</v>
      </c>
      <c r="F5" s="6">
        <f t="shared" si="3"/>
        <v>32000</v>
      </c>
      <c r="G5" s="5">
        <f t="shared" si="4"/>
        <v>22400</v>
      </c>
      <c r="H5" s="7">
        <f t="shared" si="7"/>
        <v>6.1707988980716255</v>
      </c>
      <c r="I5" s="5">
        <f t="shared" si="5"/>
        <v>18983.534477163885</v>
      </c>
      <c r="J5" s="23">
        <f t="shared" si="6"/>
        <v>61.199999999999818</v>
      </c>
      <c r="K5" s="1"/>
      <c r="L5" s="1"/>
      <c r="M5" s="1"/>
      <c r="N5" s="1"/>
      <c r="O5" s="1"/>
      <c r="P5" s="1"/>
    </row>
    <row r="6" spans="1:16" ht="31.5" x14ac:dyDescent="0.5">
      <c r="A6" s="21">
        <f t="shared" si="0"/>
        <v>10</v>
      </c>
      <c r="B6" s="3">
        <v>4</v>
      </c>
      <c r="C6" s="21">
        <f t="shared" si="1"/>
        <v>40</v>
      </c>
      <c r="D6" s="5">
        <v>34</v>
      </c>
      <c r="E6" s="5">
        <f t="shared" si="2"/>
        <v>4330</v>
      </c>
      <c r="F6" s="6">
        <f t="shared" si="3"/>
        <v>39000</v>
      </c>
      <c r="G6" s="5">
        <f t="shared" si="4"/>
        <v>27300</v>
      </c>
      <c r="H6" s="7">
        <f t="shared" si="7"/>
        <v>6.3048498845265586</v>
      </c>
      <c r="I6" s="5">
        <f t="shared" si="5"/>
        <v>22063.830381851134</v>
      </c>
      <c r="J6" s="23">
        <f t="shared" si="6"/>
        <v>-638.80000000000018</v>
      </c>
      <c r="K6" s="1"/>
      <c r="L6" s="1"/>
      <c r="M6" s="1"/>
      <c r="N6" s="1"/>
      <c r="O6" s="1"/>
      <c r="P6" s="1"/>
    </row>
    <row r="7" spans="1:16" ht="31.5" x14ac:dyDescent="0.5">
      <c r="A7" s="3" t="s">
        <v>15</v>
      </c>
      <c r="B7" s="29">
        <v>2.5</v>
      </c>
      <c r="C7" s="9"/>
      <c r="D7" s="3" t="s">
        <v>23</v>
      </c>
      <c r="E7" s="6" t="s">
        <v>26</v>
      </c>
      <c r="F7" s="3" t="s">
        <v>39</v>
      </c>
      <c r="G7" s="6"/>
      <c r="H7" s="10"/>
      <c r="I7" s="3"/>
      <c r="J7" s="2"/>
      <c r="K7" s="1"/>
      <c r="L7" s="1"/>
      <c r="M7" s="1"/>
      <c r="N7" s="1"/>
      <c r="O7" s="1"/>
      <c r="P7" s="1"/>
    </row>
    <row r="8" spans="1:16" ht="63" x14ac:dyDescent="0.5">
      <c r="A8" s="4" t="s">
        <v>14</v>
      </c>
      <c r="B8" s="30">
        <v>350</v>
      </c>
      <c r="C8" s="5"/>
      <c r="D8" s="4" t="s">
        <v>56</v>
      </c>
      <c r="E8" s="17">
        <f>G6/(B12*B15*25*((1-E10)^(E9/2))*((1-E11)^(E9/2)))</f>
        <v>8.5711256370355413E-2</v>
      </c>
      <c r="F8" s="3"/>
      <c r="G8" s="3"/>
      <c r="H8" s="3"/>
      <c r="I8" s="3"/>
      <c r="J8" s="2"/>
      <c r="K8" s="1"/>
      <c r="L8" s="1"/>
      <c r="M8" s="1"/>
      <c r="N8" s="1"/>
      <c r="O8" s="1"/>
      <c r="P8" s="1"/>
    </row>
    <row r="9" spans="1:16" ht="63" x14ac:dyDescent="0.5">
      <c r="A9" s="4" t="s">
        <v>17</v>
      </c>
      <c r="B9" s="11">
        <v>297</v>
      </c>
      <c r="C9" s="3"/>
      <c r="D9" s="3" t="s">
        <v>51</v>
      </c>
      <c r="E9" s="35">
        <v>25</v>
      </c>
      <c r="F9" s="3" t="s">
        <v>52</v>
      </c>
      <c r="G9" s="3"/>
      <c r="H9" s="3"/>
      <c r="I9" s="3"/>
      <c r="J9" s="2"/>
      <c r="K9" s="1"/>
      <c r="L9" s="1"/>
      <c r="M9" s="1"/>
      <c r="N9" s="1"/>
      <c r="O9" s="1"/>
      <c r="P9" s="1"/>
    </row>
    <row r="10" spans="1:16" ht="69" customHeight="1" x14ac:dyDescent="0.5">
      <c r="A10" s="4" t="s">
        <v>18</v>
      </c>
      <c r="B10" s="29">
        <v>0</v>
      </c>
      <c r="C10" s="3"/>
      <c r="D10" s="4" t="s">
        <v>53</v>
      </c>
      <c r="E10" s="36">
        <v>5.0000000000000001E-3</v>
      </c>
      <c r="F10" s="3" t="s">
        <v>54</v>
      </c>
      <c r="G10" s="3"/>
      <c r="H10" s="3"/>
      <c r="I10" s="3"/>
      <c r="J10" s="2"/>
      <c r="K10" s="1"/>
      <c r="L10" s="1"/>
      <c r="M10" s="1"/>
      <c r="N10" s="1"/>
      <c r="O10" s="1"/>
      <c r="P10" s="1"/>
    </row>
    <row r="11" spans="1:16" ht="63.75" customHeight="1" x14ac:dyDescent="0.5">
      <c r="A11" s="3" t="s">
        <v>19</v>
      </c>
      <c r="B11" s="20">
        <v>0.3</v>
      </c>
      <c r="C11" s="3"/>
      <c r="D11" s="4" t="s">
        <v>55</v>
      </c>
      <c r="E11" s="37">
        <v>0.01</v>
      </c>
      <c r="F11" s="3" t="s">
        <v>54</v>
      </c>
      <c r="G11" s="3"/>
      <c r="H11" s="3"/>
      <c r="I11" s="3"/>
      <c r="J11" s="2"/>
      <c r="K11" s="1"/>
      <c r="L11" s="1"/>
      <c r="M11" s="1"/>
      <c r="N11" s="1"/>
      <c r="O11" s="1"/>
      <c r="P11" s="1"/>
    </row>
    <row r="12" spans="1:16" ht="63" x14ac:dyDescent="0.5">
      <c r="A12" s="3" t="s">
        <v>21</v>
      </c>
      <c r="B12" s="32">
        <f>(B18/B15)*B16</f>
        <v>10</v>
      </c>
      <c r="C12" s="3" t="s">
        <v>22</v>
      </c>
      <c r="D12" s="3" t="s">
        <v>48</v>
      </c>
      <c r="E12" s="3"/>
      <c r="F12" s="46">
        <f>B12</f>
        <v>10</v>
      </c>
      <c r="G12" s="3" t="s">
        <v>32</v>
      </c>
      <c r="H12" s="37">
        <v>1</v>
      </c>
      <c r="I12" s="4" t="s">
        <v>57</v>
      </c>
      <c r="J12" s="2"/>
      <c r="K12" s="1"/>
      <c r="L12" s="1"/>
      <c r="M12" s="1"/>
      <c r="N12" s="1"/>
      <c r="O12" s="1"/>
      <c r="P12" s="1"/>
    </row>
    <row r="13" spans="1:16" ht="31.5" x14ac:dyDescent="0.5">
      <c r="A13" s="3" t="s">
        <v>24</v>
      </c>
      <c r="B13" s="31">
        <v>0</v>
      </c>
      <c r="C13" s="3" t="s">
        <v>25</v>
      </c>
      <c r="D13" s="14"/>
      <c r="E13" s="14"/>
      <c r="F13" s="14"/>
      <c r="G13" s="14"/>
      <c r="H13" s="14"/>
      <c r="I13" s="42"/>
    </row>
    <row r="14" spans="1:16" ht="31.5" x14ac:dyDescent="0.5">
      <c r="A14" s="3" t="s">
        <v>28</v>
      </c>
      <c r="B14" s="17">
        <v>0.24</v>
      </c>
      <c r="C14" s="41"/>
      <c r="D14" s="5">
        <f>B14*B18</f>
        <v>3691.2</v>
      </c>
      <c r="E14" s="3" t="s">
        <v>33</v>
      </c>
      <c r="F14" s="26"/>
      <c r="G14" s="26"/>
      <c r="H14" s="26"/>
      <c r="I14" s="43"/>
      <c r="J14" s="44"/>
    </row>
    <row r="15" spans="1:16" ht="31.5" x14ac:dyDescent="0.5">
      <c r="A15" s="3" t="s">
        <v>29</v>
      </c>
      <c r="B15" s="13">
        <v>1538</v>
      </c>
      <c r="C15" s="3" t="s">
        <v>30</v>
      </c>
      <c r="D15" s="26"/>
      <c r="E15" s="26"/>
      <c r="F15" s="26"/>
      <c r="G15" s="26"/>
      <c r="H15" s="26"/>
      <c r="I15" s="43"/>
      <c r="J15" s="44"/>
    </row>
    <row r="16" spans="1:16" ht="63" x14ac:dyDescent="0.5">
      <c r="A16" s="4" t="s">
        <v>36</v>
      </c>
      <c r="B16" s="20">
        <v>1</v>
      </c>
      <c r="C16" s="3" t="s">
        <v>3</v>
      </c>
      <c r="D16" s="25" t="s">
        <v>38</v>
      </c>
      <c r="E16" s="26"/>
      <c r="F16" s="26"/>
      <c r="G16" s="26"/>
      <c r="H16" s="26"/>
      <c r="I16" s="43"/>
      <c r="J16" s="44"/>
    </row>
    <row r="17" spans="1:10" ht="31.5" x14ac:dyDescent="0.5">
      <c r="A17" s="3" t="s">
        <v>31</v>
      </c>
      <c r="B17" s="16">
        <f>B18*B16</f>
        <v>15380</v>
      </c>
      <c r="C17" s="3" t="s">
        <v>32</v>
      </c>
      <c r="D17" s="26"/>
      <c r="E17" s="26"/>
      <c r="F17" s="26"/>
      <c r="G17" s="26"/>
      <c r="H17" s="26"/>
      <c r="I17" s="43"/>
      <c r="J17" s="44"/>
    </row>
    <row r="18" spans="1:10" ht="31.5" x14ac:dyDescent="0.5">
      <c r="A18" s="3" t="s">
        <v>35</v>
      </c>
      <c r="B18" s="18">
        <v>15380</v>
      </c>
      <c r="C18" s="3" t="s">
        <v>32</v>
      </c>
      <c r="D18" s="25" t="s">
        <v>37</v>
      </c>
      <c r="E18" s="26"/>
      <c r="F18" s="26"/>
      <c r="G18" s="26"/>
      <c r="H18" s="26"/>
      <c r="I18" s="43"/>
      <c r="J18" s="44"/>
    </row>
    <row r="19" spans="1:10" ht="63" customHeight="1" x14ac:dyDescent="0.5">
      <c r="A19" s="4" t="s">
        <v>47</v>
      </c>
      <c r="B19" s="34">
        <f>B18/365</f>
        <v>42.136986301369866</v>
      </c>
      <c r="C19" s="3" t="s">
        <v>32</v>
      </c>
      <c r="I19" s="43"/>
      <c r="J19" s="44"/>
    </row>
    <row r="20" spans="1:10" ht="31.5" x14ac:dyDescent="0.5">
      <c r="B20" t="s">
        <v>45</v>
      </c>
      <c r="C20" s="1"/>
    </row>
    <row r="21" spans="1:10" x14ac:dyDescent="0.25">
      <c r="B21" t="s">
        <v>46</v>
      </c>
    </row>
  </sheetData>
  <pageMargins left="0.7" right="0.7" top="0.75" bottom="0.75" header="0.3" footer="0.3"/>
  <pageSetup paperSize="15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9"/>
  <sheetViews>
    <sheetView topLeftCell="A2" workbookViewId="0">
      <selection activeCell="H13" sqref="H13"/>
    </sheetView>
  </sheetViews>
  <sheetFormatPr defaultRowHeight="15" x14ac:dyDescent="0.25"/>
  <cols>
    <col min="1" max="1" width="41.140625" customWidth="1"/>
    <col min="2" max="2" width="21.7109375" customWidth="1"/>
    <col min="3" max="3" width="19.28515625" customWidth="1"/>
    <col min="4" max="5" width="26.7109375" customWidth="1"/>
    <col min="6" max="6" width="21.7109375" bestFit="1" customWidth="1"/>
    <col min="7" max="7" width="23.140625" bestFit="1" customWidth="1"/>
    <col min="8" max="8" width="17" customWidth="1"/>
    <col min="9" max="9" width="34.28515625" customWidth="1"/>
    <col min="10" max="10" width="17.140625" customWidth="1"/>
  </cols>
  <sheetData>
    <row r="1" spans="1:16" ht="93" customHeight="1" x14ac:dyDescent="0.5">
      <c r="A1" s="3" t="s">
        <v>11</v>
      </c>
      <c r="B1" s="4" t="s">
        <v>16</v>
      </c>
      <c r="C1" s="4" t="s">
        <v>12</v>
      </c>
      <c r="D1" s="4" t="s">
        <v>13</v>
      </c>
      <c r="E1" s="4" t="s">
        <v>4</v>
      </c>
      <c r="F1" s="4" t="s">
        <v>1</v>
      </c>
      <c r="G1" s="4" t="s">
        <v>2</v>
      </c>
      <c r="H1" s="4" t="s">
        <v>5</v>
      </c>
      <c r="I1" s="4" t="s">
        <v>20</v>
      </c>
      <c r="J1" s="4" t="s">
        <v>34</v>
      </c>
      <c r="K1" s="1"/>
      <c r="L1" s="1"/>
      <c r="M1" s="1"/>
      <c r="N1" s="1"/>
      <c r="O1" s="1"/>
      <c r="P1" s="1"/>
    </row>
    <row r="2" spans="1:16" ht="31.5" x14ac:dyDescent="0.5">
      <c r="A2" s="21">
        <f>$B$12</f>
        <v>10</v>
      </c>
      <c r="B2" s="3">
        <v>0</v>
      </c>
      <c r="C2" s="21">
        <f>$F$12*B2</f>
        <v>0</v>
      </c>
      <c r="D2" s="5">
        <v>0</v>
      </c>
      <c r="E2" s="5">
        <f>IF($B$13,0,$B$9*A2)+(C2*D2*$H$12)</f>
        <v>3790</v>
      </c>
      <c r="F2" s="6">
        <f>IF($B$13,0,($B$7*A2*1000))+($B$8*C2)</f>
        <v>25000</v>
      </c>
      <c r="G2" s="5">
        <f>F2*(1-$B$11)-($B$10*C2*1000)</f>
        <v>17500</v>
      </c>
      <c r="H2" s="7">
        <f>G2/E2</f>
        <v>4.6174142480211078</v>
      </c>
      <c r="I2" s="5">
        <f>(E2+E2*(1.025^10))/2*10-G2</f>
        <v>25707.602112520966</v>
      </c>
      <c r="J2" s="23">
        <f>$D$14-E2</f>
        <v>85.760000000000218</v>
      </c>
      <c r="K2" s="1"/>
      <c r="L2" s="1"/>
      <c r="M2" s="1"/>
      <c r="N2" s="1"/>
      <c r="O2" s="1"/>
      <c r="P2" s="1"/>
    </row>
    <row r="3" spans="1:16" ht="31.5" x14ac:dyDescent="0.5">
      <c r="A3" s="21">
        <f t="shared" ref="A3:A6" si="0">$B$12</f>
        <v>10</v>
      </c>
      <c r="B3" s="3">
        <v>0.5</v>
      </c>
      <c r="C3" s="21">
        <f t="shared" ref="C3:C6" si="1">$F$12*B3</f>
        <v>5</v>
      </c>
      <c r="D3" s="5">
        <v>6</v>
      </c>
      <c r="E3" s="5">
        <f t="shared" ref="E3:E6" si="2">IF($B$13,0,$B$9*A3)+(C3*D3*$H$12)</f>
        <v>3820</v>
      </c>
      <c r="F3" s="6">
        <f t="shared" ref="F3:F6" si="3">IF($B$13,0,($B$7*A3*1000))+($B$8*C3)</f>
        <v>26750</v>
      </c>
      <c r="G3" s="5">
        <f t="shared" ref="G3:G6" si="4">F3*(1-$B$11)-($B$10*C3*1000)</f>
        <v>18725</v>
      </c>
      <c r="H3" s="7">
        <f>G3/E3</f>
        <v>4.901832460732984</v>
      </c>
      <c r="I3" s="5">
        <f t="shared" ref="I3:I6" si="5">(E3+E3*(1.025^10))/2*10-G3</f>
        <v>24824.614794150417</v>
      </c>
      <c r="J3" s="23">
        <f t="shared" ref="J3:J6" si="6">$D$14-E3</f>
        <v>55.760000000000218</v>
      </c>
      <c r="K3" s="1"/>
      <c r="L3" s="1"/>
      <c r="M3" s="1"/>
      <c r="N3" s="1"/>
      <c r="O3" s="1"/>
      <c r="P3" s="1"/>
    </row>
    <row r="4" spans="1:16" ht="31.5" x14ac:dyDescent="0.5">
      <c r="A4" s="21">
        <f t="shared" si="0"/>
        <v>10</v>
      </c>
      <c r="B4" s="3">
        <v>1</v>
      </c>
      <c r="C4" s="21">
        <f t="shared" si="1"/>
        <v>10</v>
      </c>
      <c r="D4" s="5">
        <v>12</v>
      </c>
      <c r="E4" s="5">
        <f t="shared" si="2"/>
        <v>3910</v>
      </c>
      <c r="F4" s="6">
        <f t="shared" si="3"/>
        <v>28500</v>
      </c>
      <c r="G4" s="5">
        <f t="shared" si="4"/>
        <v>19950</v>
      </c>
      <c r="H4" s="7">
        <f t="shared" ref="H4:H6" si="7">G4/E4</f>
        <v>5.1023017902813299</v>
      </c>
      <c r="I4" s="5">
        <f t="shared" si="5"/>
        <v>24625.652839038776</v>
      </c>
      <c r="J4" s="23">
        <f t="shared" si="6"/>
        <v>-34.239999999999782</v>
      </c>
      <c r="K4" s="1"/>
      <c r="L4" s="1"/>
      <c r="M4" s="1"/>
      <c r="N4" s="1"/>
      <c r="O4" s="1"/>
      <c r="P4" s="1"/>
    </row>
    <row r="5" spans="1:16" ht="31.5" x14ac:dyDescent="0.5">
      <c r="A5" s="21">
        <f t="shared" si="0"/>
        <v>10</v>
      </c>
      <c r="B5" s="3">
        <v>2</v>
      </c>
      <c r="C5" s="21">
        <f t="shared" si="1"/>
        <v>20</v>
      </c>
      <c r="D5" s="5">
        <v>17</v>
      </c>
      <c r="E5" s="5">
        <f t="shared" si="2"/>
        <v>4130</v>
      </c>
      <c r="F5" s="6">
        <f t="shared" si="3"/>
        <v>32000</v>
      </c>
      <c r="G5" s="5">
        <f t="shared" si="4"/>
        <v>22400</v>
      </c>
      <c r="H5" s="7">
        <f t="shared" si="7"/>
        <v>5.4237288135593218</v>
      </c>
      <c r="I5" s="5">
        <f t="shared" si="5"/>
        <v>24683.745837654773</v>
      </c>
      <c r="J5" s="23">
        <f t="shared" si="6"/>
        <v>-254.23999999999978</v>
      </c>
      <c r="K5" s="1"/>
      <c r="L5" s="1"/>
      <c r="M5" s="1"/>
      <c r="N5" s="1"/>
      <c r="O5" s="1"/>
      <c r="P5" s="1"/>
    </row>
    <row r="6" spans="1:16" ht="31.5" x14ac:dyDescent="0.5">
      <c r="A6" s="21">
        <f t="shared" si="0"/>
        <v>10</v>
      </c>
      <c r="B6" s="3">
        <v>4</v>
      </c>
      <c r="C6" s="21">
        <f t="shared" si="1"/>
        <v>40</v>
      </c>
      <c r="D6" s="5">
        <v>18</v>
      </c>
      <c r="E6" s="5">
        <f t="shared" si="2"/>
        <v>4510</v>
      </c>
      <c r="F6" s="6">
        <f t="shared" si="3"/>
        <v>39000</v>
      </c>
      <c r="G6" s="5">
        <f t="shared" si="4"/>
        <v>27300</v>
      </c>
      <c r="H6" s="7">
        <f t="shared" si="7"/>
        <v>6.0532150776053211</v>
      </c>
      <c r="I6" s="5">
        <f t="shared" si="5"/>
        <v>24115.906471627859</v>
      </c>
      <c r="J6" s="23">
        <f t="shared" si="6"/>
        <v>-634.23999999999978</v>
      </c>
      <c r="K6" s="1"/>
      <c r="L6" s="1"/>
      <c r="M6" s="1"/>
      <c r="N6" s="1"/>
      <c r="O6" s="1"/>
      <c r="P6" s="1"/>
    </row>
    <row r="7" spans="1:16" ht="31.5" x14ac:dyDescent="0.5">
      <c r="A7" s="3" t="s">
        <v>15</v>
      </c>
      <c r="B7" s="8">
        <f>'B-19R'!B7</f>
        <v>2.5</v>
      </c>
      <c r="C7" s="9"/>
      <c r="D7" s="3" t="s">
        <v>23</v>
      </c>
      <c r="E7" s="6" t="s">
        <v>27</v>
      </c>
      <c r="F7" s="3" t="s">
        <v>40</v>
      </c>
      <c r="G7" s="6"/>
      <c r="H7" s="10"/>
      <c r="I7" s="3"/>
      <c r="J7" s="1"/>
      <c r="K7" s="1"/>
      <c r="L7" s="1"/>
      <c r="M7" s="1"/>
      <c r="N7" s="1"/>
      <c r="O7" s="1"/>
      <c r="P7" s="1"/>
    </row>
    <row r="8" spans="1:16" ht="31.5" x14ac:dyDescent="0.5">
      <c r="A8" s="4" t="s">
        <v>14</v>
      </c>
      <c r="B8" s="8">
        <f>'B-19R'!B8</f>
        <v>350</v>
      </c>
      <c r="C8" s="5"/>
      <c r="D8" s="3" t="s">
        <v>50</v>
      </c>
      <c r="E8" s="17">
        <f>G6/(B12*B15*25*((1-E10)^(E9/2))*((1-E11)^(E9/2)))</f>
        <v>8.5711256370355413E-2</v>
      </c>
      <c r="F8" s="3"/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31.5" x14ac:dyDescent="0.5">
      <c r="A9" s="3" t="s">
        <v>17</v>
      </c>
      <c r="B9" s="8">
        <v>379</v>
      </c>
      <c r="C9" s="3"/>
      <c r="D9" s="3" t="s">
        <v>51</v>
      </c>
      <c r="E9" s="13">
        <f>'B-19R'!E9</f>
        <v>25</v>
      </c>
      <c r="F9" s="3" t="s">
        <v>52</v>
      </c>
      <c r="G9" s="3"/>
      <c r="H9" s="3"/>
      <c r="I9" s="3"/>
      <c r="J9" s="1"/>
      <c r="K9" s="1"/>
      <c r="L9" s="1"/>
      <c r="M9" s="1"/>
      <c r="N9" s="1"/>
      <c r="O9" s="1"/>
      <c r="P9" s="1"/>
    </row>
    <row r="10" spans="1:16" ht="63.75" customHeight="1" x14ac:dyDescent="0.5">
      <c r="A10" s="4" t="s">
        <v>18</v>
      </c>
      <c r="B10" s="8">
        <f>'B-19R'!B10</f>
        <v>0</v>
      </c>
      <c r="C10" s="3"/>
      <c r="D10" s="4" t="s">
        <v>53</v>
      </c>
      <c r="E10" s="38">
        <f>'B-19R'!E10</f>
        <v>5.0000000000000001E-3</v>
      </c>
      <c r="F10" s="3" t="s">
        <v>54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60.75" customHeight="1" x14ac:dyDescent="0.5">
      <c r="A11" s="3" t="s">
        <v>19</v>
      </c>
      <c r="B11" s="12">
        <f>'B-19R'!B11</f>
        <v>0.3</v>
      </c>
      <c r="C11" s="3"/>
      <c r="D11" s="4" t="s">
        <v>55</v>
      </c>
      <c r="E11" s="12">
        <f>'B-19R'!E11</f>
        <v>0.01</v>
      </c>
      <c r="F11" s="3" t="s">
        <v>54</v>
      </c>
      <c r="G11" s="3"/>
      <c r="H11" s="3"/>
      <c r="I11" s="3"/>
      <c r="J11" s="1"/>
      <c r="K11" s="1"/>
      <c r="L11" s="1"/>
      <c r="M11" s="1"/>
      <c r="N11" s="1"/>
      <c r="O11" s="1"/>
      <c r="P11" s="1"/>
    </row>
    <row r="12" spans="1:16" ht="63" x14ac:dyDescent="0.5">
      <c r="A12" s="3" t="s">
        <v>21</v>
      </c>
      <c r="B12" s="32">
        <f>'B-19R'!B12</f>
        <v>10</v>
      </c>
      <c r="C12" s="3" t="s">
        <v>22</v>
      </c>
      <c r="D12" s="3" t="s">
        <v>48</v>
      </c>
      <c r="E12" s="3"/>
      <c r="F12" s="13">
        <f>'B-19R'!F12</f>
        <v>10</v>
      </c>
      <c r="G12" s="3" t="s">
        <v>32</v>
      </c>
      <c r="H12" s="12">
        <f>'B-19R'!H12</f>
        <v>1</v>
      </c>
      <c r="I12" s="4" t="s">
        <v>57</v>
      </c>
      <c r="J12" s="1"/>
      <c r="K12" s="1"/>
      <c r="L12" s="1"/>
      <c r="M12" s="1"/>
      <c r="N12" s="1"/>
      <c r="O12" s="1"/>
      <c r="P12" s="1"/>
    </row>
    <row r="13" spans="1:16" ht="31.5" x14ac:dyDescent="0.5">
      <c r="A13" s="3" t="s">
        <v>24</v>
      </c>
      <c r="B13" s="13">
        <f>'B-19R'!B13</f>
        <v>0</v>
      </c>
      <c r="C13" s="3" t="s">
        <v>25</v>
      </c>
      <c r="D13" s="14"/>
      <c r="E13" s="14"/>
      <c r="F13" s="14"/>
      <c r="G13" s="14"/>
      <c r="H13" s="14"/>
      <c r="I13" s="14"/>
    </row>
    <row r="14" spans="1:16" ht="31.5" x14ac:dyDescent="0.5">
      <c r="A14" s="3" t="s">
        <v>28</v>
      </c>
      <c r="B14" s="17">
        <v>0.252</v>
      </c>
      <c r="D14" s="24">
        <f>B14*B18</f>
        <v>3875.76</v>
      </c>
      <c r="E14" s="25" t="s">
        <v>33</v>
      </c>
    </row>
    <row r="15" spans="1:16" ht="31.5" x14ac:dyDescent="0.5">
      <c r="A15" s="3" t="s">
        <v>29</v>
      </c>
      <c r="B15" s="13">
        <f>'B-19R'!B15</f>
        <v>1538</v>
      </c>
      <c r="C15" s="3" t="s">
        <v>30</v>
      </c>
    </row>
    <row r="16" spans="1:16" ht="63" x14ac:dyDescent="0.5">
      <c r="A16" s="4" t="s">
        <v>36</v>
      </c>
      <c r="B16" s="12">
        <f>'B-19R'!B16</f>
        <v>1</v>
      </c>
      <c r="C16" s="3"/>
    </row>
    <row r="17" spans="1:3" ht="31.5" x14ac:dyDescent="0.5">
      <c r="A17" s="3" t="s">
        <v>31</v>
      </c>
      <c r="B17" s="16">
        <f>B18*B16</f>
        <v>15380</v>
      </c>
      <c r="C17" s="19" t="s">
        <v>32</v>
      </c>
    </row>
    <row r="18" spans="1:3" ht="31.5" x14ac:dyDescent="0.5">
      <c r="A18" s="3" t="s">
        <v>35</v>
      </c>
      <c r="B18" s="16">
        <f>'B-19R'!B18</f>
        <v>15380</v>
      </c>
      <c r="C18" s="3" t="s">
        <v>32</v>
      </c>
    </row>
    <row r="19" spans="1:3" ht="31.5" x14ac:dyDescent="0.5">
      <c r="A19" s="33" t="str">
        <f>'B-19R'!A19</f>
        <v>Average Daily Use</v>
      </c>
      <c r="B19" s="34">
        <f>'B-19R'!B19</f>
        <v>42.136986301369866</v>
      </c>
      <c r="C19" s="1" t="str">
        <f>'B-19R'!C19</f>
        <v>kwh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19"/>
  <sheetViews>
    <sheetView topLeftCell="A2" workbookViewId="0">
      <selection activeCell="B10" sqref="B10"/>
    </sheetView>
  </sheetViews>
  <sheetFormatPr defaultRowHeight="15" x14ac:dyDescent="0.25"/>
  <cols>
    <col min="1" max="1" width="43.28515625" customWidth="1"/>
    <col min="2" max="2" width="21.7109375" customWidth="1"/>
    <col min="3" max="3" width="19.28515625" customWidth="1"/>
    <col min="4" max="4" width="27.140625" customWidth="1"/>
    <col min="5" max="5" width="26.7109375" customWidth="1"/>
    <col min="6" max="6" width="21.7109375" bestFit="1" customWidth="1"/>
    <col min="7" max="7" width="23.140625" bestFit="1" customWidth="1"/>
    <col min="8" max="8" width="17" customWidth="1"/>
    <col min="9" max="9" width="31.42578125" customWidth="1"/>
    <col min="10" max="10" width="19.140625" customWidth="1"/>
  </cols>
  <sheetData>
    <row r="1" spans="1:16" ht="93" customHeight="1" x14ac:dyDescent="0.5">
      <c r="A1" s="3" t="s">
        <v>11</v>
      </c>
      <c r="B1" s="4" t="s">
        <v>16</v>
      </c>
      <c r="C1" s="4" t="s">
        <v>12</v>
      </c>
      <c r="D1" s="4" t="s">
        <v>13</v>
      </c>
      <c r="E1" s="4" t="s">
        <v>4</v>
      </c>
      <c r="F1" s="4" t="s">
        <v>1</v>
      </c>
      <c r="G1" s="4" t="s">
        <v>2</v>
      </c>
      <c r="H1" s="4" t="s">
        <v>5</v>
      </c>
      <c r="I1" s="4" t="s">
        <v>20</v>
      </c>
      <c r="J1" s="4" t="s">
        <v>34</v>
      </c>
      <c r="K1" s="1"/>
      <c r="L1" s="1"/>
      <c r="M1" s="1"/>
      <c r="N1" s="1"/>
      <c r="O1" s="1"/>
      <c r="P1" s="1"/>
    </row>
    <row r="2" spans="1:16" ht="31.5" x14ac:dyDescent="0.5">
      <c r="A2" s="21">
        <f>$B$12</f>
        <v>10</v>
      </c>
      <c r="B2" s="3">
        <v>0</v>
      </c>
      <c r="C2" s="21">
        <f>$F$12*B2</f>
        <v>0</v>
      </c>
      <c r="D2" s="5">
        <v>0</v>
      </c>
      <c r="E2" s="5">
        <f>IF($B$13,0,$B$9*A2)+(C2*D2*$H$12)</f>
        <v>4160</v>
      </c>
      <c r="F2" s="6">
        <f>IF($B$13,0,($B$7*A2*1000))+($B$8*C2)</f>
        <v>25000</v>
      </c>
      <c r="G2" s="5">
        <f>F2*(1-$B$11)-($B$10*C2*1000)</f>
        <v>17500</v>
      </c>
      <c r="H2" s="7">
        <f>G2/E2</f>
        <v>4.2067307692307692</v>
      </c>
      <c r="I2" s="5">
        <f>(E2+E2*(1.025^10))/2*10-G2</f>
        <v>29925.758519284223</v>
      </c>
      <c r="J2" s="23">
        <f>$D$14-E2</f>
        <v>454</v>
      </c>
      <c r="K2" s="1"/>
      <c r="L2" s="1"/>
      <c r="M2" s="1"/>
      <c r="N2" s="1"/>
      <c r="O2" s="1"/>
      <c r="P2" s="1"/>
    </row>
    <row r="3" spans="1:16" ht="31.5" x14ac:dyDescent="0.5">
      <c r="A3" s="21">
        <f t="shared" ref="A3:A6" si="0">$B$12</f>
        <v>10</v>
      </c>
      <c r="B3" s="3">
        <v>0.5</v>
      </c>
      <c r="C3" s="21">
        <f t="shared" ref="C3:C6" si="1">$F$12*B3</f>
        <v>5</v>
      </c>
      <c r="D3" s="5">
        <v>174</v>
      </c>
      <c r="E3" s="5">
        <f t="shared" ref="E3:E6" si="2">IF($B$13,0,$B$9*A3)+(C3*D3*$H$12)</f>
        <v>5030</v>
      </c>
      <c r="F3" s="6">
        <f t="shared" ref="F3:F6" si="3">IF($B$13,0,($B$7*A3*1000))+($B$8*C3)</f>
        <v>26750</v>
      </c>
      <c r="G3" s="5">
        <f t="shared" ref="G3:G6" si="4">F3*(1-$B$11)-($B$10*C3*1000)</f>
        <v>18725</v>
      </c>
      <c r="H3" s="7">
        <f>G3/E3</f>
        <v>3.7226640159045727</v>
      </c>
      <c r="I3" s="5">
        <f t="shared" ref="I3:I6" si="5">(E3+E3*(1.025^10))/2*10-G3</f>
        <v>38619.126286538376</v>
      </c>
      <c r="J3" s="23">
        <f t="shared" ref="J3:J6" si="6">$D$14-E3</f>
        <v>-416</v>
      </c>
      <c r="K3" s="1"/>
      <c r="L3" s="1"/>
      <c r="M3" s="1"/>
      <c r="N3" s="1"/>
      <c r="O3" s="1"/>
      <c r="P3" s="1"/>
    </row>
    <row r="4" spans="1:16" ht="31.5" x14ac:dyDescent="0.5">
      <c r="A4" s="21">
        <f t="shared" si="0"/>
        <v>10</v>
      </c>
      <c r="B4" s="3">
        <v>1</v>
      </c>
      <c r="C4" s="21">
        <f t="shared" si="1"/>
        <v>10</v>
      </c>
      <c r="D4" s="5">
        <v>109</v>
      </c>
      <c r="E4" s="5">
        <f t="shared" si="2"/>
        <v>5250</v>
      </c>
      <c r="F4" s="6">
        <f t="shared" si="3"/>
        <v>28500</v>
      </c>
      <c r="G4" s="5">
        <f t="shared" si="4"/>
        <v>19950</v>
      </c>
      <c r="H4" s="7">
        <f t="shared" ref="H4:H6" si="7">G4/E4</f>
        <v>3.8</v>
      </c>
      <c r="I4" s="5">
        <f t="shared" si="5"/>
        <v>39902.219285154366</v>
      </c>
      <c r="J4" s="23">
        <f t="shared" si="6"/>
        <v>-636</v>
      </c>
      <c r="K4" s="1"/>
      <c r="L4" s="1"/>
      <c r="M4" s="1"/>
      <c r="N4" s="1"/>
      <c r="O4" s="1"/>
      <c r="P4" s="1"/>
    </row>
    <row r="5" spans="1:16" ht="31.5" x14ac:dyDescent="0.5">
      <c r="A5" s="21">
        <f t="shared" si="0"/>
        <v>10</v>
      </c>
      <c r="B5" s="3">
        <v>2</v>
      </c>
      <c r="C5" s="21">
        <f t="shared" si="1"/>
        <v>20</v>
      </c>
      <c r="D5" s="5">
        <v>78</v>
      </c>
      <c r="E5" s="5">
        <f t="shared" si="2"/>
        <v>5720</v>
      </c>
      <c r="F5" s="6">
        <f t="shared" si="3"/>
        <v>32000</v>
      </c>
      <c r="G5" s="5">
        <f t="shared" si="4"/>
        <v>22400</v>
      </c>
      <c r="H5" s="7">
        <f t="shared" si="7"/>
        <v>3.9160839160839163</v>
      </c>
      <c r="I5" s="5">
        <f t="shared" si="5"/>
        <v>42810.417964015811</v>
      </c>
      <c r="J5" s="23">
        <f t="shared" si="6"/>
        <v>-1106</v>
      </c>
      <c r="K5" s="1"/>
      <c r="L5" s="1"/>
      <c r="M5" s="1"/>
      <c r="N5" s="1"/>
      <c r="O5" s="1"/>
      <c r="P5" s="1"/>
    </row>
    <row r="6" spans="1:16" ht="31.5" x14ac:dyDescent="0.5">
      <c r="A6" s="21">
        <f t="shared" si="0"/>
        <v>10</v>
      </c>
      <c r="B6" s="3">
        <v>4</v>
      </c>
      <c r="C6" s="21">
        <f t="shared" si="1"/>
        <v>40</v>
      </c>
      <c r="D6" s="5">
        <v>59</v>
      </c>
      <c r="E6" s="5">
        <f t="shared" si="2"/>
        <v>6520</v>
      </c>
      <c r="F6" s="6">
        <f t="shared" si="3"/>
        <v>39000</v>
      </c>
      <c r="G6" s="5">
        <f t="shared" si="4"/>
        <v>27300</v>
      </c>
      <c r="H6" s="7">
        <f t="shared" si="7"/>
        <v>4.1871165644171775</v>
      </c>
      <c r="I6" s="5">
        <f t="shared" si="5"/>
        <v>47030.756140801241</v>
      </c>
      <c r="J6" s="23">
        <f t="shared" si="6"/>
        <v>-1906</v>
      </c>
      <c r="K6" s="1"/>
      <c r="L6" s="1"/>
      <c r="M6" s="1"/>
      <c r="N6" s="1"/>
      <c r="O6" s="1"/>
      <c r="P6" s="1"/>
    </row>
    <row r="7" spans="1:16" ht="31.5" x14ac:dyDescent="0.5">
      <c r="A7" s="3" t="s">
        <v>15</v>
      </c>
      <c r="B7" s="8">
        <f>'B-19R'!B7</f>
        <v>2.5</v>
      </c>
      <c r="C7" s="9"/>
      <c r="D7" s="3" t="s">
        <v>23</v>
      </c>
      <c r="E7" s="6" t="s">
        <v>49</v>
      </c>
      <c r="F7" s="3" t="s">
        <v>41</v>
      </c>
      <c r="G7" s="6"/>
      <c r="H7" s="10"/>
      <c r="I7" s="3"/>
      <c r="J7" s="1"/>
      <c r="K7" s="1"/>
      <c r="L7" s="1"/>
      <c r="M7" s="1"/>
      <c r="N7" s="1"/>
      <c r="O7" s="1"/>
      <c r="P7" s="1"/>
    </row>
    <row r="8" spans="1:16" ht="31.5" x14ac:dyDescent="0.5">
      <c r="A8" s="4" t="s">
        <v>14</v>
      </c>
      <c r="B8" s="8">
        <f>'B-19R'!B8</f>
        <v>350</v>
      </c>
      <c r="C8" s="5"/>
      <c r="D8" s="3" t="s">
        <v>50</v>
      </c>
      <c r="E8" s="17">
        <f>G6/(B12*B15*25*((1-E10)^(E9/2))*((1-E11)^(E9/2)))</f>
        <v>8.5711256370355413E-2</v>
      </c>
      <c r="F8" s="3"/>
      <c r="G8" s="3"/>
      <c r="H8" s="3"/>
      <c r="I8" s="3"/>
      <c r="J8" s="1"/>
      <c r="K8" s="1"/>
      <c r="L8" s="1"/>
      <c r="M8" s="1"/>
      <c r="N8" s="1"/>
      <c r="O8" s="1"/>
      <c r="P8" s="1"/>
    </row>
    <row r="9" spans="1:16" ht="31.5" x14ac:dyDescent="0.5">
      <c r="A9" s="3" t="s">
        <v>17</v>
      </c>
      <c r="B9" s="8">
        <v>416</v>
      </c>
      <c r="C9" s="3"/>
      <c r="D9" s="3" t="s">
        <v>51</v>
      </c>
      <c r="E9" s="13">
        <f>'B-19R'!E9</f>
        <v>25</v>
      </c>
      <c r="F9" s="3" t="s">
        <v>52</v>
      </c>
      <c r="G9" s="3"/>
      <c r="H9" s="3"/>
      <c r="I9" s="3"/>
      <c r="J9" s="1"/>
      <c r="K9" s="1"/>
      <c r="L9" s="1"/>
      <c r="M9" s="1"/>
      <c r="N9" s="1"/>
      <c r="O9" s="1"/>
      <c r="P9" s="1"/>
    </row>
    <row r="10" spans="1:16" ht="67.5" customHeight="1" x14ac:dyDescent="0.5">
      <c r="A10" s="4" t="s">
        <v>18</v>
      </c>
      <c r="B10" s="8">
        <f>'B-19R'!B10</f>
        <v>0</v>
      </c>
      <c r="C10" s="3"/>
      <c r="D10" s="4" t="s">
        <v>53</v>
      </c>
      <c r="E10" s="38">
        <f>'B-19R'!E10</f>
        <v>5.0000000000000001E-3</v>
      </c>
      <c r="F10" s="3" t="s">
        <v>54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61.5" customHeight="1" x14ac:dyDescent="0.5">
      <c r="A11" s="3" t="s">
        <v>19</v>
      </c>
      <c r="B11" s="12">
        <f>'B-19R'!B11</f>
        <v>0.3</v>
      </c>
      <c r="C11" s="3"/>
      <c r="D11" s="4" t="s">
        <v>55</v>
      </c>
      <c r="E11" s="12">
        <f>'B-19R'!E11</f>
        <v>0.01</v>
      </c>
      <c r="F11" s="3" t="s">
        <v>54</v>
      </c>
      <c r="G11" s="3"/>
      <c r="H11" s="3"/>
      <c r="I11" s="3"/>
      <c r="J11" s="1"/>
      <c r="K11" s="1"/>
      <c r="L11" s="1"/>
      <c r="M11" s="1"/>
      <c r="N11" s="1"/>
      <c r="O11" s="1"/>
      <c r="P11" s="1"/>
    </row>
    <row r="12" spans="1:16" ht="63" x14ac:dyDescent="0.5">
      <c r="A12" s="3" t="s">
        <v>21</v>
      </c>
      <c r="B12" s="32">
        <f>'B-19R'!B12</f>
        <v>10</v>
      </c>
      <c r="C12" s="3" t="s">
        <v>22</v>
      </c>
      <c r="D12" s="3" t="s">
        <v>48</v>
      </c>
      <c r="E12" s="3"/>
      <c r="F12" s="13">
        <f>'B-19R'!F12</f>
        <v>10</v>
      </c>
      <c r="G12" s="3" t="s">
        <v>32</v>
      </c>
      <c r="H12" s="12">
        <f>'B-19R'!H12</f>
        <v>1</v>
      </c>
      <c r="I12" s="4" t="s">
        <v>57</v>
      </c>
      <c r="J12" s="1"/>
      <c r="K12" s="1"/>
      <c r="L12" s="1"/>
      <c r="M12" s="1"/>
      <c r="N12" s="1"/>
      <c r="O12" s="1"/>
      <c r="P12" s="1"/>
    </row>
    <row r="13" spans="1:16" ht="31.5" x14ac:dyDescent="0.5">
      <c r="A13" s="3" t="s">
        <v>24</v>
      </c>
      <c r="B13" s="13">
        <f>'B-19R'!B13</f>
        <v>0</v>
      </c>
      <c r="C13" s="3" t="s">
        <v>25</v>
      </c>
      <c r="D13" s="14"/>
      <c r="E13" s="14"/>
      <c r="F13" s="14"/>
      <c r="G13" s="14"/>
      <c r="H13" s="14"/>
      <c r="I13" s="14"/>
    </row>
    <row r="14" spans="1:16" ht="31.5" x14ac:dyDescent="0.5">
      <c r="A14" s="3" t="s">
        <v>28</v>
      </c>
      <c r="B14" s="17">
        <v>0.3</v>
      </c>
      <c r="D14" s="24">
        <f>B14*B18</f>
        <v>4614</v>
      </c>
      <c r="E14" s="25" t="s">
        <v>33</v>
      </c>
    </row>
    <row r="15" spans="1:16" ht="31.5" x14ac:dyDescent="0.5">
      <c r="A15" s="3" t="s">
        <v>29</v>
      </c>
      <c r="B15" s="13">
        <f>'B-19R'!B15</f>
        <v>1538</v>
      </c>
      <c r="C15" s="3" t="s">
        <v>30</v>
      </c>
    </row>
    <row r="16" spans="1:16" ht="31.5" x14ac:dyDescent="0.5">
      <c r="A16" s="4" t="s">
        <v>36</v>
      </c>
      <c r="B16" s="12">
        <f>'B-19R'!B16</f>
        <v>1</v>
      </c>
      <c r="C16" s="3"/>
    </row>
    <row r="17" spans="1:3" ht="31.5" x14ac:dyDescent="0.5">
      <c r="A17" s="3" t="s">
        <v>31</v>
      </c>
      <c r="B17" s="16">
        <f>B18*B16</f>
        <v>15380</v>
      </c>
      <c r="C17" s="3" t="s">
        <v>32</v>
      </c>
    </row>
    <row r="18" spans="1:3" ht="31.5" x14ac:dyDescent="0.5">
      <c r="A18" s="3" t="s">
        <v>35</v>
      </c>
      <c r="B18" s="16">
        <f>'B-19R'!B18</f>
        <v>15380</v>
      </c>
      <c r="C18" s="3" t="s">
        <v>32</v>
      </c>
    </row>
    <row r="19" spans="1:3" ht="31.5" x14ac:dyDescent="0.5">
      <c r="A19" s="33" t="str">
        <f>'B-19R'!A19</f>
        <v>Average Daily Use</v>
      </c>
      <c r="B19" s="34">
        <f>'B-19R'!B19</f>
        <v>42.136986301369866</v>
      </c>
      <c r="C19" s="1" t="str">
        <f>'B-19R'!C19</f>
        <v>kwh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98A2-2F88-47F1-B206-C6AF8955B861}">
  <dimension ref="A1:Q20"/>
  <sheetViews>
    <sheetView workbookViewId="0">
      <selection activeCell="D7" sqref="D7"/>
    </sheetView>
  </sheetViews>
  <sheetFormatPr defaultRowHeight="15" x14ac:dyDescent="0.25"/>
  <cols>
    <col min="1" max="1" width="29.42578125" customWidth="1"/>
    <col min="2" max="2" width="21.7109375" customWidth="1"/>
    <col min="3" max="3" width="19.28515625" customWidth="1"/>
    <col min="4" max="4" width="27.5703125" customWidth="1"/>
    <col min="5" max="5" width="26.7109375" customWidth="1"/>
    <col min="6" max="6" width="21.7109375" bestFit="1" customWidth="1"/>
    <col min="7" max="7" width="23.140625" bestFit="1" customWidth="1"/>
    <col min="8" max="8" width="17" customWidth="1"/>
    <col min="9" max="9" width="31.28515625" customWidth="1"/>
    <col min="10" max="10" width="25.28515625" bestFit="1" customWidth="1"/>
    <col min="11" max="11" width="19.140625" customWidth="1"/>
  </cols>
  <sheetData>
    <row r="1" spans="1:17" ht="93" customHeight="1" x14ac:dyDescent="0.5">
      <c r="A1" s="3" t="s">
        <v>11</v>
      </c>
      <c r="B1" s="4" t="s">
        <v>16</v>
      </c>
      <c r="C1" s="4" t="s">
        <v>12</v>
      </c>
      <c r="D1" s="4" t="s">
        <v>13</v>
      </c>
      <c r="E1" s="4" t="s">
        <v>4</v>
      </c>
      <c r="F1" s="4" t="s">
        <v>1</v>
      </c>
      <c r="G1" s="4" t="s">
        <v>2</v>
      </c>
      <c r="H1" s="4" t="s">
        <v>5</v>
      </c>
      <c r="I1" s="27" t="s">
        <v>44</v>
      </c>
      <c r="J1" s="4" t="s">
        <v>20</v>
      </c>
      <c r="K1" s="4" t="s">
        <v>34</v>
      </c>
      <c r="L1" s="1"/>
      <c r="M1" s="1"/>
      <c r="N1" s="1"/>
      <c r="O1" s="1"/>
      <c r="P1" s="1"/>
      <c r="Q1" s="1"/>
    </row>
    <row r="2" spans="1:17" ht="31.5" x14ac:dyDescent="0.5">
      <c r="A2" s="21">
        <f>$B$13</f>
        <v>10</v>
      </c>
      <c r="B2" s="3">
        <v>0</v>
      </c>
      <c r="C2" s="21">
        <f>$F$13*B2</f>
        <v>0</v>
      </c>
      <c r="D2" s="5">
        <v>0</v>
      </c>
      <c r="E2" s="5">
        <f>IF($B$14,0,$B$10*A2)+(C2*D2*$H$13)</f>
        <v>5190</v>
      </c>
      <c r="F2" s="6">
        <f>IF($B$14,0,($B$8*A2*1000))+($B$9*C2)</f>
        <v>35000</v>
      </c>
      <c r="G2" s="5">
        <f>F2*(1-$B$12)-($B$11*C2*1000)</f>
        <v>24500</v>
      </c>
      <c r="H2" s="7">
        <f>G2/E2</f>
        <v>4.7206165703275529</v>
      </c>
      <c r="I2" s="28">
        <f>G2/(E2+EV!$B$6)</f>
        <v>3.309036302829496</v>
      </c>
      <c r="J2" s="5">
        <f>(E2+E2*(1.025^10))/2*10-G2</f>
        <v>34668.193921895472</v>
      </c>
      <c r="K2" s="23">
        <f>$D$15-E2</f>
        <v>-729.80000000000018</v>
      </c>
      <c r="L2" s="1"/>
      <c r="M2" s="1"/>
      <c r="N2" s="1"/>
      <c r="O2" s="1"/>
      <c r="P2" s="1"/>
      <c r="Q2" s="1"/>
    </row>
    <row r="3" spans="1:17" ht="31.5" x14ac:dyDescent="0.5">
      <c r="A3" s="21">
        <f t="shared" ref="A3:A7" si="0">$B$13</f>
        <v>10</v>
      </c>
      <c r="B3" s="3">
        <v>0.5</v>
      </c>
      <c r="C3" s="21">
        <f t="shared" ref="C3:C7" si="1">$F$13*B3</f>
        <v>5</v>
      </c>
      <c r="D3" s="5">
        <v>85</v>
      </c>
      <c r="E3" s="5">
        <f t="shared" ref="E3:E7" si="2">IF($B$14,0,$B$10*A3)+(C3*D3*$H$13)</f>
        <v>5615</v>
      </c>
      <c r="F3" s="6">
        <f t="shared" ref="F3:F7" si="3">IF($B$14,0,($B$8*A3*1000))+($B$9*C3)</f>
        <v>38000</v>
      </c>
      <c r="G3" s="5">
        <f t="shared" ref="G3:G7" si="4">F3*(1-$B$12)-($B$11*C3*1000)</f>
        <v>26600</v>
      </c>
      <c r="H3" s="7">
        <f>G3/E3</f>
        <v>4.7373107747105969</v>
      </c>
      <c r="I3" s="28">
        <f>G3/(E3+EV!$B$6)</f>
        <v>3.3976379603868621</v>
      </c>
      <c r="J3" s="5">
        <f t="shared" ref="J3:J7" si="5">(E3+E3*(1.025^10))/2*10-G3</f>
        <v>37413.373578312734</v>
      </c>
      <c r="K3" s="23">
        <f t="shared" ref="K3:K7" si="6">$D$15-E3</f>
        <v>-1154.8000000000002</v>
      </c>
      <c r="L3" s="1"/>
      <c r="M3" s="1"/>
      <c r="N3" s="1"/>
      <c r="O3" s="1"/>
      <c r="P3" s="1"/>
      <c r="Q3" s="1"/>
    </row>
    <row r="4" spans="1:17" ht="31.5" x14ac:dyDescent="0.5">
      <c r="A4" s="21">
        <f t="shared" si="0"/>
        <v>10</v>
      </c>
      <c r="B4" s="3">
        <v>1</v>
      </c>
      <c r="C4" s="21">
        <f t="shared" si="1"/>
        <v>10</v>
      </c>
      <c r="D4" s="5">
        <v>83</v>
      </c>
      <c r="E4" s="5">
        <f t="shared" si="2"/>
        <v>6020</v>
      </c>
      <c r="F4" s="6">
        <f t="shared" si="3"/>
        <v>41000</v>
      </c>
      <c r="G4" s="5">
        <f t="shared" si="4"/>
        <v>28699.999999999996</v>
      </c>
      <c r="H4" s="7">
        <f t="shared" ref="H4:H7" si="7">G4/E4</f>
        <v>4.7674418604651159</v>
      </c>
      <c r="I4" s="28">
        <f>G4/(E4+EV!$B$6)</f>
        <v>3.4855611338477734</v>
      </c>
      <c r="J4" s="5">
        <f t="shared" si="5"/>
        <v>39930.544780310345</v>
      </c>
      <c r="K4" s="23">
        <f t="shared" si="6"/>
        <v>-1559.8000000000002</v>
      </c>
      <c r="L4" s="1"/>
      <c r="M4" s="1"/>
      <c r="N4" s="1"/>
      <c r="O4" s="1"/>
      <c r="P4" s="1"/>
      <c r="Q4" s="1"/>
    </row>
    <row r="5" spans="1:17" ht="31.5" x14ac:dyDescent="0.5">
      <c r="A5" s="21">
        <f t="shared" si="0"/>
        <v>10</v>
      </c>
      <c r="B5" s="3">
        <v>2</v>
      </c>
      <c r="C5" s="21">
        <f t="shared" si="1"/>
        <v>20</v>
      </c>
      <c r="D5" s="5">
        <v>83</v>
      </c>
      <c r="E5" s="5">
        <f t="shared" si="2"/>
        <v>6850</v>
      </c>
      <c r="F5" s="6">
        <f t="shared" si="3"/>
        <v>47000</v>
      </c>
      <c r="G5" s="5">
        <f t="shared" si="4"/>
        <v>32900</v>
      </c>
      <c r="H5" s="7">
        <f t="shared" si="7"/>
        <v>4.8029197080291972</v>
      </c>
      <c r="I5" s="28">
        <f>G5/(E5+EV!$B$6)</f>
        <v>3.6297567235543076</v>
      </c>
      <c r="J5" s="5">
        <f t="shared" si="5"/>
        <v>45192.895638725226</v>
      </c>
      <c r="K5" s="23">
        <f t="shared" si="6"/>
        <v>-2389.8000000000002</v>
      </c>
      <c r="L5" s="1"/>
      <c r="M5" s="1"/>
      <c r="N5" s="1"/>
      <c r="O5" s="1"/>
      <c r="P5" s="1"/>
      <c r="Q5" s="1"/>
    </row>
    <row r="6" spans="1:17" ht="31.5" x14ac:dyDescent="0.5">
      <c r="A6" s="21">
        <f t="shared" si="0"/>
        <v>10</v>
      </c>
      <c r="B6" s="3">
        <v>3</v>
      </c>
      <c r="C6" s="21">
        <f t="shared" ref="C6" si="8">$F$13*B6</f>
        <v>30</v>
      </c>
      <c r="D6" s="5">
        <v>82</v>
      </c>
      <c r="E6" s="5">
        <f t="shared" ref="E6" si="9">IF($B$14,0,$B$10*A6)+(C6*D6*$H$13)</f>
        <v>7650</v>
      </c>
      <c r="F6" s="6">
        <f t="shared" ref="F6" si="10">IF($B$14,0,($B$8*A6*1000))+($B$9*C6)</f>
        <v>53000</v>
      </c>
      <c r="G6" s="5">
        <f t="shared" ref="G6" si="11">F6*(1-$B$12)-($B$11*C6*1000)</f>
        <v>37100</v>
      </c>
      <c r="H6" s="7">
        <f t="shared" ref="H6" si="12">G6/E6</f>
        <v>4.8496732026143787</v>
      </c>
      <c r="I6" s="28">
        <f>G6/(E6+EV!$B$6)</f>
        <v>3.7611637371774473</v>
      </c>
      <c r="J6" s="5">
        <f t="shared" ref="J6" si="13">(E6+E6*(1.025^10))/2*10-G6</f>
        <v>50113.233815510641</v>
      </c>
      <c r="K6" s="23">
        <f t="shared" ref="K6" si="14">$D$15-E6</f>
        <v>-3189.8</v>
      </c>
      <c r="L6" s="1"/>
      <c r="M6" s="1"/>
      <c r="N6" s="1"/>
      <c r="O6" s="1"/>
      <c r="P6" s="1"/>
      <c r="Q6" s="1"/>
    </row>
    <row r="7" spans="1:17" ht="31.5" x14ac:dyDescent="0.5">
      <c r="A7" s="21">
        <f t="shared" si="0"/>
        <v>10</v>
      </c>
      <c r="B7" s="3">
        <v>4</v>
      </c>
      <c r="C7" s="21">
        <f t="shared" si="1"/>
        <v>40</v>
      </c>
      <c r="D7" s="5">
        <v>80</v>
      </c>
      <c r="E7" s="5">
        <f t="shared" si="2"/>
        <v>8390</v>
      </c>
      <c r="F7" s="6">
        <f t="shared" si="3"/>
        <v>59000</v>
      </c>
      <c r="G7" s="5">
        <f t="shared" si="4"/>
        <v>41300</v>
      </c>
      <c r="H7" s="7">
        <f t="shared" si="7"/>
        <v>4.9225268176400476</v>
      </c>
      <c r="I7" s="28">
        <f>G7/(E7+EV!$B$6)</f>
        <v>3.8947683265117252</v>
      </c>
      <c r="J7" s="5">
        <f t="shared" si="5"/>
        <v>54349.546629037184</v>
      </c>
      <c r="K7" s="23">
        <f t="shared" si="6"/>
        <v>-3929.8</v>
      </c>
      <c r="L7" s="1"/>
      <c r="M7" s="1"/>
      <c r="N7" s="1"/>
      <c r="O7" s="1"/>
      <c r="P7" s="1"/>
      <c r="Q7" s="1"/>
    </row>
    <row r="8" spans="1:17" ht="31.5" x14ac:dyDescent="0.5">
      <c r="A8" s="3" t="s">
        <v>15</v>
      </c>
      <c r="B8" s="47">
        <v>3.5</v>
      </c>
      <c r="C8" s="9"/>
      <c r="D8" s="3" t="s">
        <v>23</v>
      </c>
      <c r="E8" s="6" t="s">
        <v>10</v>
      </c>
      <c r="F8" s="3" t="s">
        <v>43</v>
      </c>
      <c r="G8" s="6"/>
      <c r="H8" s="10"/>
      <c r="I8" s="40"/>
      <c r="J8" s="3"/>
      <c r="K8" s="3"/>
      <c r="L8" s="1"/>
      <c r="M8" s="1"/>
      <c r="N8" s="1"/>
      <c r="O8" s="1"/>
      <c r="P8" s="1"/>
      <c r="Q8" s="1"/>
    </row>
    <row r="9" spans="1:17" ht="63" x14ac:dyDescent="0.5">
      <c r="A9" s="4" t="s">
        <v>14</v>
      </c>
      <c r="B9" s="47">
        <v>600</v>
      </c>
      <c r="C9" s="5"/>
      <c r="D9" s="3" t="s">
        <v>50</v>
      </c>
      <c r="E9" s="17">
        <f>G7/(B13*B16*25*((1-E11)^(E10/2))*((1-E12)^(E10/2)))</f>
        <v>0.12966574681669152</v>
      </c>
      <c r="F9" s="3"/>
      <c r="G9" s="3"/>
      <c r="H9" s="3"/>
      <c r="I9" s="14"/>
      <c r="J9" s="3"/>
      <c r="K9" s="3"/>
      <c r="L9" s="1"/>
      <c r="M9" s="1"/>
      <c r="N9" s="1"/>
      <c r="O9" s="1"/>
      <c r="P9" s="1"/>
      <c r="Q9" s="1"/>
    </row>
    <row r="10" spans="1:17" ht="63" x14ac:dyDescent="0.5">
      <c r="A10" s="4" t="s">
        <v>17</v>
      </c>
      <c r="B10" s="8">
        <v>519</v>
      </c>
      <c r="C10" s="3"/>
      <c r="D10" s="3" t="s">
        <v>51</v>
      </c>
      <c r="E10" s="13">
        <f>'B-19R'!E9</f>
        <v>25</v>
      </c>
      <c r="F10" s="3" t="s">
        <v>52</v>
      </c>
      <c r="G10" s="3"/>
      <c r="H10" s="3"/>
      <c r="I10" s="14"/>
      <c r="J10" s="3"/>
      <c r="K10" s="3"/>
      <c r="L10" s="1"/>
      <c r="M10" s="1"/>
      <c r="N10" s="1"/>
      <c r="O10" s="1"/>
      <c r="P10" s="1"/>
      <c r="Q10" s="1"/>
    </row>
    <row r="11" spans="1:17" ht="66.75" customHeight="1" x14ac:dyDescent="0.5">
      <c r="A11" s="4" t="s">
        <v>18</v>
      </c>
      <c r="B11" s="47">
        <v>0</v>
      </c>
      <c r="C11" s="3"/>
      <c r="D11" s="4" t="s">
        <v>53</v>
      </c>
      <c r="E11" s="38">
        <f>'B-19R'!E10</f>
        <v>5.0000000000000001E-3</v>
      </c>
      <c r="F11" s="3" t="s">
        <v>54</v>
      </c>
      <c r="G11" s="3"/>
      <c r="H11" s="3"/>
      <c r="I11" s="14"/>
      <c r="J11" s="3"/>
      <c r="K11" s="3"/>
      <c r="L11" s="1"/>
      <c r="M11" s="1"/>
      <c r="N11" s="1"/>
      <c r="O11" s="1"/>
      <c r="P11" s="1"/>
      <c r="Q11" s="1"/>
    </row>
    <row r="12" spans="1:17" ht="62.25" customHeight="1" x14ac:dyDescent="0.5">
      <c r="A12" s="3" t="s">
        <v>19</v>
      </c>
      <c r="B12" s="12">
        <f>'B-19R'!B11</f>
        <v>0.3</v>
      </c>
      <c r="C12" s="3"/>
      <c r="D12" s="4" t="s">
        <v>55</v>
      </c>
      <c r="E12" s="12">
        <f>'B-19R'!E11</f>
        <v>0.01</v>
      </c>
      <c r="F12" s="3" t="s">
        <v>54</v>
      </c>
      <c r="G12" s="3"/>
      <c r="H12" s="3"/>
      <c r="I12" s="14"/>
      <c r="J12" s="3"/>
      <c r="K12" s="3"/>
      <c r="L12" s="1"/>
      <c r="M12" s="1"/>
      <c r="N12" s="1"/>
      <c r="O12" s="1"/>
      <c r="P12" s="1"/>
      <c r="Q12" s="1"/>
    </row>
    <row r="13" spans="1:17" ht="63" x14ac:dyDescent="0.5">
      <c r="A13" s="3" t="s">
        <v>21</v>
      </c>
      <c r="B13" s="32">
        <f>'B-19R'!B12</f>
        <v>10</v>
      </c>
      <c r="C13" s="3" t="s">
        <v>22</v>
      </c>
      <c r="D13" s="3" t="s">
        <v>48</v>
      </c>
      <c r="E13" s="3"/>
      <c r="F13" s="13">
        <f>'B-19R'!F12</f>
        <v>10</v>
      </c>
      <c r="G13" s="3" t="s">
        <v>32</v>
      </c>
      <c r="H13" s="12">
        <f>'B-19R'!H12</f>
        <v>1</v>
      </c>
      <c r="I13" s="4" t="s">
        <v>57</v>
      </c>
      <c r="J13" s="3"/>
      <c r="K13" s="3"/>
      <c r="L13" s="1"/>
      <c r="M13" s="1"/>
      <c r="N13" s="1"/>
      <c r="O13" s="1"/>
      <c r="P13" s="1"/>
      <c r="Q13" s="1"/>
    </row>
    <row r="14" spans="1:17" ht="31.5" x14ac:dyDescent="0.5">
      <c r="A14" s="3" t="s">
        <v>24</v>
      </c>
      <c r="B14" s="13">
        <f>'B-19R'!B13</f>
        <v>0</v>
      </c>
      <c r="C14" s="3" t="s">
        <v>25</v>
      </c>
      <c r="D14" s="14"/>
      <c r="E14" s="14"/>
      <c r="F14" s="14"/>
      <c r="G14" s="14"/>
      <c r="H14" s="14"/>
      <c r="I14" s="45"/>
      <c r="J14" s="14"/>
      <c r="K14" s="14"/>
    </row>
    <row r="15" spans="1:17" ht="31.5" x14ac:dyDescent="0.5">
      <c r="A15" s="3" t="s">
        <v>28</v>
      </c>
      <c r="B15" s="17">
        <v>0.28999999999999998</v>
      </c>
      <c r="C15" s="14"/>
      <c r="D15" s="5">
        <f>B15*B19</f>
        <v>4460.2</v>
      </c>
      <c r="E15" s="3" t="s">
        <v>33</v>
      </c>
    </row>
    <row r="16" spans="1:17" ht="31.5" x14ac:dyDescent="0.5">
      <c r="A16" s="3" t="s">
        <v>29</v>
      </c>
      <c r="B16" s="13">
        <f>'B-19R'!B15</f>
        <v>1538</v>
      </c>
      <c r="C16" s="3" t="s">
        <v>30</v>
      </c>
    </row>
    <row r="17" spans="1:3" ht="63" x14ac:dyDescent="0.5">
      <c r="A17" s="4" t="s">
        <v>36</v>
      </c>
      <c r="B17" s="12">
        <f>'B-19R'!B16</f>
        <v>1</v>
      </c>
      <c r="C17" s="3"/>
    </row>
    <row r="18" spans="1:3" ht="31.5" x14ac:dyDescent="0.5">
      <c r="A18" s="3" t="s">
        <v>31</v>
      </c>
      <c r="B18" s="16">
        <f>B19*B17</f>
        <v>15380</v>
      </c>
      <c r="C18" s="3" t="s">
        <v>32</v>
      </c>
    </row>
    <row r="19" spans="1:3" ht="31.5" x14ac:dyDescent="0.5">
      <c r="A19" s="3" t="s">
        <v>35</v>
      </c>
      <c r="B19" s="16">
        <f>'B-19R'!B18</f>
        <v>15380</v>
      </c>
      <c r="C19" s="3" t="s">
        <v>32</v>
      </c>
    </row>
    <row r="20" spans="1:3" ht="63" x14ac:dyDescent="0.5">
      <c r="A20" s="39" t="str">
        <f>'B-19R'!A19</f>
        <v>Average Daily Use</v>
      </c>
      <c r="B20" s="34">
        <f>'B-19R'!B19</f>
        <v>42.136986301369866</v>
      </c>
      <c r="C20" s="3" t="str">
        <f>'B-19R'!C19</f>
        <v>kwh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5FAE-FC59-41B1-8636-5054D4CF5334}">
  <dimension ref="A1:Q20"/>
  <sheetViews>
    <sheetView tabSelected="1" workbookViewId="0">
      <selection activeCell="H6" sqref="H6"/>
    </sheetView>
  </sheetViews>
  <sheetFormatPr defaultRowHeight="15" x14ac:dyDescent="0.25"/>
  <cols>
    <col min="1" max="1" width="29.42578125" customWidth="1"/>
    <col min="2" max="2" width="21.7109375" customWidth="1"/>
    <col min="3" max="3" width="19.28515625" customWidth="1"/>
    <col min="4" max="4" width="27.5703125" customWidth="1"/>
    <col min="5" max="5" width="26.7109375" customWidth="1"/>
    <col min="6" max="6" width="21.7109375" bestFit="1" customWidth="1"/>
    <col min="7" max="7" width="23.140625" bestFit="1" customWidth="1"/>
    <col min="8" max="8" width="17" customWidth="1"/>
    <col min="9" max="9" width="31.28515625" customWidth="1"/>
    <col min="10" max="10" width="25.28515625" bestFit="1" customWidth="1"/>
    <col min="11" max="11" width="19.140625" customWidth="1"/>
  </cols>
  <sheetData>
    <row r="1" spans="1:17" ht="93" customHeight="1" x14ac:dyDescent="0.5">
      <c r="A1" s="3" t="s">
        <v>11</v>
      </c>
      <c r="B1" s="4" t="s">
        <v>16</v>
      </c>
      <c r="C1" s="4" t="s">
        <v>12</v>
      </c>
      <c r="D1" s="4" t="s">
        <v>13</v>
      </c>
      <c r="E1" s="4" t="s">
        <v>4</v>
      </c>
      <c r="F1" s="4" t="s">
        <v>1</v>
      </c>
      <c r="G1" s="4" t="s">
        <v>2</v>
      </c>
      <c r="H1" s="4" t="s">
        <v>5</v>
      </c>
      <c r="I1" s="27" t="s">
        <v>44</v>
      </c>
      <c r="J1" s="4" t="s">
        <v>20</v>
      </c>
      <c r="K1" s="4" t="s">
        <v>34</v>
      </c>
      <c r="L1" s="1"/>
      <c r="M1" s="1"/>
      <c r="N1" s="1"/>
      <c r="O1" s="1"/>
      <c r="P1" s="1"/>
      <c r="Q1" s="1"/>
    </row>
    <row r="2" spans="1:17" ht="31.5" x14ac:dyDescent="0.5">
      <c r="A2" s="21">
        <f>$B$13</f>
        <v>10</v>
      </c>
      <c r="B2" s="3">
        <v>0</v>
      </c>
      <c r="C2" s="21">
        <f>$F$13*B2</f>
        <v>0</v>
      </c>
      <c r="D2" s="5">
        <v>0</v>
      </c>
      <c r="E2" s="5">
        <f>IF($B$14,0,$B$10*A2)+(C2*D2*$H$13)</f>
        <v>3080</v>
      </c>
      <c r="F2" s="6">
        <f>IF($B$14,0,($B$8*A2*1000))+($B$9*C2)</f>
        <v>35000</v>
      </c>
      <c r="G2" s="5">
        <f>F2*(1-$B$12)-($B$11*C2*1000)</f>
        <v>24500</v>
      </c>
      <c r="H2" s="7">
        <f>G2/E2</f>
        <v>7.9545454545454541</v>
      </c>
      <c r="I2" s="28">
        <f>G2/(E2+EV!$B$6)</f>
        <v>4.6279083019322931</v>
      </c>
      <c r="J2" s="5">
        <f>(E2+E2*(1.025^10))/2*10-G2</f>
        <v>10613.301980623903</v>
      </c>
      <c r="K2" s="23">
        <f>$D$15-E2</f>
        <v>1380.1999999999998</v>
      </c>
      <c r="L2" s="1"/>
      <c r="M2" s="1"/>
      <c r="N2" s="1"/>
      <c r="O2" s="1"/>
      <c r="P2" s="1"/>
      <c r="Q2" s="1"/>
    </row>
    <row r="3" spans="1:17" ht="31.5" x14ac:dyDescent="0.5">
      <c r="A3" s="21">
        <f t="shared" ref="A3:A7" si="0">$B$13</f>
        <v>10</v>
      </c>
      <c r="B3" s="3">
        <v>0.5</v>
      </c>
      <c r="C3" s="21">
        <f t="shared" ref="C3:C7" si="1">$F$13*B3</f>
        <v>5</v>
      </c>
      <c r="D3" s="5">
        <v>85</v>
      </c>
      <c r="E3" s="5">
        <f t="shared" ref="E3:E7" si="2">IF($B$14,0,$B$10*A3)+(C3*D3*$H$13)</f>
        <v>3505</v>
      </c>
      <c r="F3" s="6">
        <f t="shared" ref="F3:F7" si="3">IF($B$14,0,($B$8*A3*1000))+($B$9*C3)</f>
        <v>38000</v>
      </c>
      <c r="G3" s="5">
        <f t="shared" ref="G3:G7" si="4">F3*(1-$B$12)-($B$11*C3*1000)</f>
        <v>26600</v>
      </c>
      <c r="H3" s="7">
        <f>G3/E3</f>
        <v>7.5891583452211124</v>
      </c>
      <c r="I3" s="28">
        <f>G3/(E3+EV!$B$6)</f>
        <v>4.6511885447870691</v>
      </c>
      <c r="J3" s="5">
        <f t="shared" ref="J3:J7" si="5">(E3+E3*(1.025^10))/2*10-G3</f>
        <v>13358.481637041157</v>
      </c>
      <c r="K3" s="23">
        <f t="shared" ref="K3:K7" si="6">$D$15-E3</f>
        <v>955.19999999999982</v>
      </c>
      <c r="L3" s="1"/>
      <c r="M3" s="1"/>
      <c r="N3" s="1"/>
      <c r="O3" s="1"/>
      <c r="P3" s="1"/>
      <c r="Q3" s="1"/>
    </row>
    <row r="4" spans="1:17" ht="31.5" x14ac:dyDescent="0.5">
      <c r="A4" s="21">
        <f t="shared" si="0"/>
        <v>10</v>
      </c>
      <c r="B4" s="3">
        <v>1</v>
      </c>
      <c r="C4" s="21">
        <f t="shared" si="1"/>
        <v>10</v>
      </c>
      <c r="D4" s="5">
        <v>112</v>
      </c>
      <c r="E4" s="5">
        <f t="shared" si="2"/>
        <v>4200</v>
      </c>
      <c r="F4" s="6">
        <f t="shared" si="3"/>
        <v>41000</v>
      </c>
      <c r="G4" s="5">
        <f t="shared" si="4"/>
        <v>28699.999999999996</v>
      </c>
      <c r="H4" s="7">
        <f t="shared" ref="H4:H7" si="7">G4/E4</f>
        <v>6.8333333333333321</v>
      </c>
      <c r="I4" s="28">
        <f>G4/(E4+EV!$B$6)</f>
        <v>4.4746089329512841</v>
      </c>
      <c r="J4" s="5">
        <f t="shared" si="5"/>
        <v>19181.775428123507</v>
      </c>
      <c r="K4" s="23">
        <f t="shared" si="6"/>
        <v>260.19999999999982</v>
      </c>
      <c r="L4" s="1"/>
      <c r="M4" s="1"/>
      <c r="N4" s="1"/>
      <c r="O4" s="1"/>
      <c r="P4" s="1"/>
      <c r="Q4" s="1"/>
    </row>
    <row r="5" spans="1:17" ht="31.5" x14ac:dyDescent="0.5">
      <c r="A5" s="21">
        <f t="shared" si="0"/>
        <v>10</v>
      </c>
      <c r="B5" s="3">
        <v>2</v>
      </c>
      <c r="C5" s="21">
        <f t="shared" si="1"/>
        <v>20</v>
      </c>
      <c r="D5" s="5">
        <v>123</v>
      </c>
      <c r="E5" s="5">
        <f t="shared" si="2"/>
        <v>5540</v>
      </c>
      <c r="F5" s="6">
        <f t="shared" si="3"/>
        <v>47000</v>
      </c>
      <c r="G5" s="5">
        <f t="shared" si="4"/>
        <v>32900</v>
      </c>
      <c r="H5" s="7">
        <f t="shared" si="7"/>
        <v>5.9386281588447654</v>
      </c>
      <c r="I5" s="28">
        <f>G5/(E5+EV!$B$6)</f>
        <v>4.2429886976152638</v>
      </c>
      <c r="J5" s="5">
        <f t="shared" si="5"/>
        <v>30258.341874239086</v>
      </c>
      <c r="K5" s="23">
        <f t="shared" si="6"/>
        <v>-1079.8000000000002</v>
      </c>
      <c r="L5" s="1"/>
      <c r="M5" s="1"/>
      <c r="N5" s="1"/>
      <c r="O5" s="1"/>
      <c r="P5" s="1"/>
      <c r="Q5" s="1"/>
    </row>
    <row r="6" spans="1:17" ht="31.5" x14ac:dyDescent="0.5">
      <c r="A6" s="21">
        <f t="shared" si="0"/>
        <v>10</v>
      </c>
      <c r="B6" s="3">
        <v>3</v>
      </c>
      <c r="C6" s="21">
        <f t="shared" ref="C6" si="8">$F$13*B6</f>
        <v>30</v>
      </c>
      <c r="D6" s="5">
        <v>122</v>
      </c>
      <c r="E6" s="5">
        <f t="shared" ref="E6" si="9">IF($B$14,0,$B$10*A6)+(C6*D6*$H$13)</f>
        <v>6740</v>
      </c>
      <c r="F6" s="6">
        <f t="shared" ref="F6" si="10">IF($B$14,0,($B$8*A6*1000))+($B$9*C6)</f>
        <v>53000</v>
      </c>
      <c r="G6" s="5">
        <f t="shared" ref="G6" si="11">F6*(1-$B$12)-($B$11*C6*1000)</f>
        <v>37100</v>
      </c>
      <c r="H6" s="7">
        <f t="shared" ref="H6" si="12">G6/E6</f>
        <v>5.5044510385756675</v>
      </c>
      <c r="I6" s="28">
        <f>G6/(E6+EV!$B$6)</f>
        <v>4.1434142515208805</v>
      </c>
      <c r="J6" s="5">
        <f t="shared" ref="J6" si="13">(E6+E6*(1.025^10))/2*10-G6</f>
        <v>39738.849139417231</v>
      </c>
      <c r="K6" s="23">
        <f t="shared" ref="K6" si="14">$D$15-E6</f>
        <v>-2279.8000000000002</v>
      </c>
      <c r="L6" s="1"/>
      <c r="M6" s="1"/>
      <c r="N6" s="1"/>
      <c r="O6" s="1"/>
      <c r="P6" s="1"/>
      <c r="Q6" s="1"/>
    </row>
    <row r="7" spans="1:17" ht="31.5" x14ac:dyDescent="0.5">
      <c r="A7" s="21">
        <f t="shared" si="0"/>
        <v>10</v>
      </c>
      <c r="B7" s="3">
        <v>4</v>
      </c>
      <c r="C7" s="21">
        <f t="shared" si="1"/>
        <v>40</v>
      </c>
      <c r="D7" s="5">
        <v>93</v>
      </c>
      <c r="E7" s="5">
        <f t="shared" si="2"/>
        <v>6800</v>
      </c>
      <c r="F7" s="6">
        <f t="shared" si="3"/>
        <v>59000</v>
      </c>
      <c r="G7" s="5">
        <f t="shared" si="4"/>
        <v>41300</v>
      </c>
      <c r="H7" s="7">
        <f t="shared" si="7"/>
        <v>6.0735294117647056</v>
      </c>
      <c r="I7" s="28">
        <f>G7/(E7+EV!$B$6)</f>
        <v>4.5817778000477407</v>
      </c>
      <c r="J7" s="5">
        <f t="shared" si="5"/>
        <v>36222.874502676146</v>
      </c>
      <c r="K7" s="23">
        <f t="shared" si="6"/>
        <v>-2339.8000000000002</v>
      </c>
      <c r="L7" s="1"/>
      <c r="M7" s="1"/>
      <c r="N7" s="1"/>
      <c r="O7" s="1"/>
      <c r="P7" s="1"/>
      <c r="Q7" s="1"/>
    </row>
    <row r="8" spans="1:17" ht="31.5" x14ac:dyDescent="0.5">
      <c r="A8" s="3" t="s">
        <v>15</v>
      </c>
      <c r="B8" s="47">
        <v>3.5</v>
      </c>
      <c r="C8" s="9"/>
      <c r="D8" s="3"/>
      <c r="E8" s="6" t="s">
        <v>58</v>
      </c>
      <c r="F8" s="3" t="s">
        <v>59</v>
      </c>
      <c r="G8" s="6"/>
      <c r="H8" s="10"/>
      <c r="I8" s="40"/>
      <c r="J8" s="3"/>
      <c r="K8" s="3"/>
      <c r="L8" s="1"/>
      <c r="M8" s="1"/>
      <c r="N8" s="1"/>
      <c r="O8" s="1"/>
      <c r="P8" s="1"/>
      <c r="Q8" s="1"/>
    </row>
    <row r="9" spans="1:17" ht="63" x14ac:dyDescent="0.5">
      <c r="A9" s="4" t="s">
        <v>14</v>
      </c>
      <c r="B9" s="47">
        <v>600</v>
      </c>
      <c r="C9" s="5"/>
      <c r="D9" s="3" t="s">
        <v>50</v>
      </c>
      <c r="E9" s="17">
        <f>G7/(B13*B16*25*((1-E11)^(E10/2))*((1-E12)^(E10/2)))</f>
        <v>0.12966574681669152</v>
      </c>
      <c r="F9" s="3"/>
      <c r="G9" s="3"/>
      <c r="H9" s="3"/>
      <c r="I9" s="14"/>
      <c r="J9" s="3"/>
      <c r="K9" s="3"/>
      <c r="L9" s="1"/>
      <c r="M9" s="1"/>
      <c r="N9" s="1"/>
      <c r="O9" s="1"/>
      <c r="P9" s="1"/>
      <c r="Q9" s="1"/>
    </row>
    <row r="10" spans="1:17" ht="63" x14ac:dyDescent="0.5">
      <c r="A10" s="4" t="s">
        <v>17</v>
      </c>
      <c r="B10" s="8">
        <v>308</v>
      </c>
      <c r="C10" s="3"/>
      <c r="D10" s="3" t="s">
        <v>51</v>
      </c>
      <c r="E10" s="13">
        <f>'B-19R'!E9</f>
        <v>25</v>
      </c>
      <c r="F10" s="3" t="s">
        <v>52</v>
      </c>
      <c r="G10" s="3"/>
      <c r="H10" s="3"/>
      <c r="I10" s="14"/>
      <c r="J10" s="3"/>
      <c r="K10" s="3"/>
      <c r="L10" s="1"/>
      <c r="M10" s="1"/>
      <c r="N10" s="1"/>
      <c r="O10" s="1"/>
      <c r="P10" s="1"/>
      <c r="Q10" s="1"/>
    </row>
    <row r="11" spans="1:17" ht="66.75" customHeight="1" x14ac:dyDescent="0.5">
      <c r="A11" s="4" t="s">
        <v>18</v>
      </c>
      <c r="B11" s="47">
        <v>0</v>
      </c>
      <c r="C11" s="3"/>
      <c r="D11" s="4" t="s">
        <v>53</v>
      </c>
      <c r="E11" s="38">
        <f>'B-19R'!E10</f>
        <v>5.0000000000000001E-3</v>
      </c>
      <c r="F11" s="3" t="s">
        <v>54</v>
      </c>
      <c r="G11" s="3"/>
      <c r="H11" s="3"/>
      <c r="I11" s="14"/>
      <c r="J11" s="3"/>
      <c r="K11" s="3"/>
      <c r="L11" s="1"/>
      <c r="M11" s="1"/>
      <c r="N11" s="1"/>
      <c r="O11" s="1"/>
      <c r="P11" s="1"/>
      <c r="Q11" s="1"/>
    </row>
    <row r="12" spans="1:17" ht="62.25" customHeight="1" x14ac:dyDescent="0.5">
      <c r="A12" s="3" t="s">
        <v>19</v>
      </c>
      <c r="B12" s="12">
        <f>'B-19R'!B11</f>
        <v>0.3</v>
      </c>
      <c r="C12" s="3"/>
      <c r="D12" s="4" t="s">
        <v>55</v>
      </c>
      <c r="E12" s="12">
        <f>'B-19R'!E11</f>
        <v>0.01</v>
      </c>
      <c r="F12" s="3" t="s">
        <v>54</v>
      </c>
      <c r="G12" s="3"/>
      <c r="H12" s="3"/>
      <c r="I12" s="14"/>
      <c r="J12" s="3"/>
      <c r="K12" s="3"/>
      <c r="L12" s="1"/>
      <c r="M12" s="1"/>
      <c r="N12" s="1"/>
      <c r="O12" s="1"/>
      <c r="P12" s="1"/>
      <c r="Q12" s="1"/>
    </row>
    <row r="13" spans="1:17" ht="63" x14ac:dyDescent="0.5">
      <c r="A13" s="3" t="s">
        <v>21</v>
      </c>
      <c r="B13" s="32">
        <f>'B-19R'!B12</f>
        <v>10</v>
      </c>
      <c r="C13" s="3" t="s">
        <v>22</v>
      </c>
      <c r="D13" s="3" t="s">
        <v>48</v>
      </c>
      <c r="E13" s="3"/>
      <c r="F13" s="13">
        <f>'B-19R'!F12</f>
        <v>10</v>
      </c>
      <c r="G13" s="3" t="s">
        <v>32</v>
      </c>
      <c r="H13" s="12">
        <f>'B-19R'!H12</f>
        <v>1</v>
      </c>
      <c r="I13" s="4" t="s">
        <v>57</v>
      </c>
      <c r="J13" s="3"/>
      <c r="K13" s="3"/>
      <c r="L13" s="1"/>
      <c r="M13" s="1"/>
      <c r="N13" s="1"/>
      <c r="O13" s="1"/>
      <c r="P13" s="1"/>
      <c r="Q13" s="1"/>
    </row>
    <row r="14" spans="1:17" ht="31.5" x14ac:dyDescent="0.5">
      <c r="A14" s="3" t="s">
        <v>24</v>
      </c>
      <c r="B14" s="13">
        <f>'B-19R'!B13</f>
        <v>0</v>
      </c>
      <c r="C14" s="3" t="s">
        <v>25</v>
      </c>
      <c r="D14" s="14"/>
      <c r="E14" s="14"/>
      <c r="F14" s="14"/>
      <c r="G14" s="14"/>
      <c r="H14" s="14"/>
      <c r="I14" s="45"/>
      <c r="J14" s="14"/>
      <c r="K14" s="14"/>
    </row>
    <row r="15" spans="1:17" ht="31.5" x14ac:dyDescent="0.5">
      <c r="A15" s="3" t="s">
        <v>28</v>
      </c>
      <c r="B15" s="17">
        <v>0.28999999999999998</v>
      </c>
      <c r="C15" s="14"/>
      <c r="D15" s="5">
        <f>B15*B19</f>
        <v>4460.2</v>
      </c>
      <c r="E15" s="3" t="s">
        <v>33</v>
      </c>
    </row>
    <row r="16" spans="1:17" ht="31.5" x14ac:dyDescent="0.5">
      <c r="A16" s="3" t="s">
        <v>29</v>
      </c>
      <c r="B16" s="13">
        <f>'B-19R'!B15</f>
        <v>1538</v>
      </c>
      <c r="C16" s="3" t="s">
        <v>30</v>
      </c>
    </row>
    <row r="17" spans="1:3" ht="63" x14ac:dyDescent="0.5">
      <c r="A17" s="4" t="s">
        <v>36</v>
      </c>
      <c r="B17" s="12">
        <f>'B-19R'!B16</f>
        <v>1</v>
      </c>
      <c r="C17" s="3"/>
    </row>
    <row r="18" spans="1:3" ht="31.5" x14ac:dyDescent="0.5">
      <c r="A18" s="3" t="s">
        <v>31</v>
      </c>
      <c r="B18" s="16">
        <f>B19*B17</f>
        <v>15380</v>
      </c>
      <c r="C18" s="3" t="s">
        <v>32</v>
      </c>
    </row>
    <row r="19" spans="1:3" ht="31.5" x14ac:dyDescent="0.5">
      <c r="A19" s="3" t="s">
        <v>35</v>
      </c>
      <c r="B19" s="16">
        <f>'B-19R'!B18</f>
        <v>15380</v>
      </c>
      <c r="C19" s="3" t="s">
        <v>32</v>
      </c>
    </row>
    <row r="20" spans="1:3" ht="63" x14ac:dyDescent="0.5">
      <c r="A20" s="39" t="str">
        <f>'B-19R'!A19</f>
        <v>Average Daily Use</v>
      </c>
      <c r="B20" s="34">
        <f>'B-19R'!B19</f>
        <v>42.136986301369866</v>
      </c>
      <c r="C20" s="3" t="str">
        <f>'B-19R'!C19</f>
        <v>kwh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B6"/>
  <sheetViews>
    <sheetView workbookViewId="0">
      <selection activeCell="B6" sqref="B6"/>
    </sheetView>
  </sheetViews>
  <sheetFormatPr defaultRowHeight="15" x14ac:dyDescent="0.25"/>
  <cols>
    <col min="1" max="1" width="29" customWidth="1"/>
    <col min="2" max="2" width="22.7109375" customWidth="1"/>
  </cols>
  <sheetData>
    <row r="2" spans="1:2" ht="31.5" x14ac:dyDescent="0.5">
      <c r="A2" s="1" t="s">
        <v>6</v>
      </c>
      <c r="B2" s="1">
        <v>31</v>
      </c>
    </row>
    <row r="3" spans="1:2" ht="31.5" x14ac:dyDescent="0.5">
      <c r="A3" s="1" t="s">
        <v>7</v>
      </c>
      <c r="B3" s="1">
        <f>B2*365</f>
        <v>11315</v>
      </c>
    </row>
    <row r="4" spans="1:2" ht="31.5" x14ac:dyDescent="0.5">
      <c r="A4" s="1" t="s">
        <v>8</v>
      </c>
      <c r="B4" s="1">
        <v>30</v>
      </c>
    </row>
    <row r="5" spans="1:2" ht="31.5" x14ac:dyDescent="0.5">
      <c r="A5" s="1" t="s">
        <v>9</v>
      </c>
      <c r="B5" s="22">
        <v>5.87</v>
      </c>
    </row>
    <row r="6" spans="1:2" ht="31.5" x14ac:dyDescent="0.5">
      <c r="A6" s="1" t="s">
        <v>0</v>
      </c>
      <c r="B6" s="22">
        <f>(B3/B4)*B5</f>
        <v>2213.9683333333337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B-19R</vt:lpstr>
      <vt:lpstr>B-10</vt:lpstr>
      <vt:lpstr>B-1ST</vt:lpstr>
      <vt:lpstr>EV2</vt:lpstr>
      <vt:lpstr>E-ELECT  NEM3</vt:lpstr>
      <vt:lpstr>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Rust</dc:creator>
  <cp:lastModifiedBy>Tom</cp:lastModifiedBy>
  <cp:lastPrinted>2020-04-19T23:37:57Z</cp:lastPrinted>
  <dcterms:created xsi:type="dcterms:W3CDTF">2019-10-02T17:41:25Z</dcterms:created>
  <dcterms:modified xsi:type="dcterms:W3CDTF">2023-01-26T17:53:11Z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6cbca803-fcb4-4b3c-8327-d95177112789</vt:lpwstr>
  </property>
</Properties>
</file>